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D8AAE0C3-A891-4BDA-96BB-3344E07E8E13}"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3" i="18" l="1"/>
  <c r="I12" i="63"/>
  <c r="J12" i="63" s="1"/>
  <c r="K12" i="63" s="1"/>
  <c r="H12" i="63"/>
  <c r="G12" i="63"/>
  <c r="I4" i="63"/>
  <c r="H4" i="63"/>
  <c r="G4" i="63"/>
  <c r="B160" i="18"/>
  <c r="B159" i="18"/>
  <c r="D12" i="18"/>
  <c r="J49" i="63"/>
  <c r="K49" i="63" s="1"/>
  <c r="L49" i="63" s="1"/>
  <c r="I3" i="63"/>
  <c r="H3" i="63"/>
  <c r="G3" i="63"/>
  <c r="H11" i="63"/>
  <c r="G11" i="63"/>
  <c r="J4" i="63" l="1"/>
  <c r="K4" i="63" s="1"/>
  <c r="M49" i="63"/>
  <c r="N49" i="63" s="1"/>
  <c r="O49" i="63" s="1"/>
  <c r="J3" i="63"/>
  <c r="K3" i="63" s="1"/>
  <c r="H10" i="63"/>
  <c r="G10" i="63"/>
  <c r="H9" i="63"/>
  <c r="G9" i="63"/>
  <c r="I35" i="63"/>
  <c r="H35" i="63"/>
  <c r="G35" i="63"/>
  <c r="I2" i="63"/>
  <c r="H2" i="63"/>
  <c r="G2" i="63"/>
  <c r="P49" i="63" l="1"/>
  <c r="Q49" i="63"/>
  <c r="S49" i="63" s="1"/>
  <c r="J2" i="63"/>
  <c r="K2" i="63" s="1"/>
  <c r="J35" i="63"/>
  <c r="K35" i="63" s="1"/>
  <c r="J48" i="63"/>
  <c r="K48" i="63" s="1"/>
  <c r="L48" i="63" s="1"/>
  <c r="J47" i="63"/>
  <c r="K47" i="63" s="1"/>
  <c r="L47" i="63" s="1"/>
  <c r="E71" i="18"/>
  <c r="M48" i="63" l="1"/>
  <c r="N48" i="63" s="1"/>
  <c r="O48" i="63" s="1"/>
  <c r="M47" i="63"/>
  <c r="N47" i="63" s="1"/>
  <c r="O47" i="63" s="1"/>
  <c r="R504" i="18"/>
  <c r="B167" i="18"/>
  <c r="J87" i="63"/>
  <c r="K87" i="63" s="1"/>
  <c r="L87" i="63" s="1"/>
  <c r="Q48" i="63" l="1"/>
  <c r="S48" i="63" s="1"/>
  <c r="P48" i="63"/>
  <c r="Q47" i="63"/>
  <c r="S47" i="63" s="1"/>
  <c r="P47" i="63"/>
  <c r="M87" i="63"/>
  <c r="N87" i="63" s="1"/>
  <c r="O87" i="63" s="1"/>
  <c r="R503" i="18"/>
  <c r="P87" i="63" l="1"/>
  <c r="Q87" i="63"/>
  <c r="S87" i="63" s="1"/>
  <c r="P3" i="63"/>
  <c r="O23" i="63" s="1"/>
  <c r="I11" i="63" s="1"/>
  <c r="J11" i="63" s="1"/>
  <c r="K11" i="63" s="1"/>
  <c r="F62" i="18"/>
  <c r="F7" i="18"/>
  <c r="F51" i="18"/>
  <c r="F34" i="18"/>
  <c r="F33" i="18"/>
  <c r="F25" i="18"/>
  <c r="F24" i="18"/>
  <c r="F16" i="18"/>
  <c r="F15" i="18"/>
  <c r="F6" i="18"/>
  <c r="I9" i="63" l="1"/>
  <c r="J9" i="63" s="1"/>
  <c r="K9" i="63" s="1"/>
  <c r="I10" i="63"/>
  <c r="J10" i="63" s="1"/>
  <c r="K10" i="63" s="1"/>
  <c r="F67" i="18"/>
  <c r="I1" i="63"/>
  <c r="H1" i="63"/>
  <c r="G1" i="63"/>
  <c r="J46" i="63"/>
  <c r="J45" i="63"/>
  <c r="K45" i="63" s="1"/>
  <c r="L45" i="63" s="1"/>
  <c r="J44" i="63"/>
  <c r="K44" i="63" s="1"/>
  <c r="L44" i="63" s="1"/>
  <c r="M44" i="63" s="1"/>
  <c r="I34" i="63"/>
  <c r="H34" i="63"/>
  <c r="G34" i="63"/>
  <c r="B163" i="18"/>
  <c r="D46" i="18"/>
  <c r="D47" i="18" s="1"/>
  <c r="B47" i="18" s="1"/>
  <c r="H11" i="18" l="1"/>
  <c r="J1" i="63"/>
  <c r="K1" i="63" s="1"/>
  <c r="K46" i="63"/>
  <c r="L46" i="63" s="1"/>
  <c r="M45" i="63"/>
  <c r="N45" i="63" s="1"/>
  <c r="O45" i="63" s="1"/>
  <c r="N44" i="63"/>
  <c r="O44" i="63" s="1"/>
  <c r="J34" i="63"/>
  <c r="K34" i="63" s="1"/>
  <c r="C163" i="18"/>
  <c r="D48" i="18"/>
  <c r="B48" i="18" s="1"/>
  <c r="B46" i="18"/>
  <c r="Q45" i="63" l="1"/>
  <c r="S45" i="63" s="1"/>
  <c r="P45" i="63"/>
  <c r="M46" i="63"/>
  <c r="N46" i="63" s="1"/>
  <c r="O46" i="63" s="1"/>
  <c r="P44" i="63"/>
  <c r="Q44" i="63"/>
  <c r="S44" i="63" s="1"/>
  <c r="J88" i="63"/>
  <c r="K88" i="63" s="1"/>
  <c r="L88" i="63" s="1"/>
  <c r="M88" i="63" s="1"/>
  <c r="J43" i="63"/>
  <c r="K43" i="63" s="1"/>
  <c r="L43" i="63" s="1"/>
  <c r="M43" i="63" s="1"/>
  <c r="T23" i="63"/>
  <c r="Q46" i="63" l="1"/>
  <c r="S46" i="63" s="1"/>
  <c r="P46" i="63"/>
  <c r="N88" i="63"/>
  <c r="O88" i="63" s="1"/>
  <c r="N43" i="63"/>
  <c r="O43" i="63" s="1"/>
  <c r="F10" i="60"/>
  <c r="Q88" i="63" l="1"/>
  <c r="S88" i="63" s="1"/>
  <c r="P88" i="63"/>
  <c r="Q43" i="63"/>
  <c r="S43" i="63" s="1"/>
  <c r="P43" i="63"/>
  <c r="B168" i="18" l="1"/>
  <c r="J91" i="63"/>
  <c r="K91" i="63" s="1"/>
  <c r="L91" i="63" s="1"/>
  <c r="J75" i="63"/>
  <c r="K75" i="63" s="1"/>
  <c r="L75" i="63" s="1"/>
  <c r="J71" i="63"/>
  <c r="K71" i="63" s="1"/>
  <c r="L71" i="63" s="1"/>
  <c r="J65" i="63"/>
  <c r="K65" i="63" s="1"/>
  <c r="L65" i="63" s="1"/>
  <c r="J86" i="63"/>
  <c r="K86" i="63" s="1"/>
  <c r="L86" i="63" s="1"/>
  <c r="M91" i="63" l="1"/>
  <c r="N91" i="63" s="1"/>
  <c r="O91" i="63" s="1"/>
  <c r="M75" i="63"/>
  <c r="N75" i="63" s="1"/>
  <c r="O75" i="63" s="1"/>
  <c r="M71" i="63"/>
  <c r="N71" i="63" s="1"/>
  <c r="O71" i="63" s="1"/>
  <c r="M65" i="63"/>
  <c r="N65" i="63" s="1"/>
  <c r="O65" i="63" s="1"/>
  <c r="M86" i="63"/>
  <c r="N86" i="63" s="1"/>
  <c r="O86" i="63" s="1"/>
  <c r="J80" i="63"/>
  <c r="K80" i="63" s="1"/>
  <c r="L80" i="63" s="1"/>
  <c r="J64" i="63"/>
  <c r="K64" i="63" s="1"/>
  <c r="L64" i="63" s="1"/>
  <c r="J74" i="63"/>
  <c r="K74" i="63" s="1"/>
  <c r="L74" i="63" s="1"/>
  <c r="J63" i="63"/>
  <c r="K63" i="63" s="1"/>
  <c r="L63" i="63" s="1"/>
  <c r="Q91" i="63" l="1"/>
  <c r="S91" i="63" s="1"/>
  <c r="P91" i="63"/>
  <c r="Q75" i="63"/>
  <c r="S75" i="63" s="1"/>
  <c r="P75" i="63"/>
  <c r="Q71" i="63"/>
  <c r="S71" i="63" s="1"/>
  <c r="P71" i="63"/>
  <c r="Q65" i="63"/>
  <c r="S65" i="63" s="1"/>
  <c r="P65" i="63"/>
  <c r="Q86" i="63"/>
  <c r="S86" i="63" s="1"/>
  <c r="P86" i="63"/>
  <c r="M80" i="63"/>
  <c r="N80" i="63" s="1"/>
  <c r="O80" i="63" s="1"/>
  <c r="M64" i="63"/>
  <c r="N64" i="63" s="1"/>
  <c r="O64" i="63" s="1"/>
  <c r="M74" i="63"/>
  <c r="N74" i="63" s="1"/>
  <c r="O74" i="63" s="1"/>
  <c r="M63" i="63"/>
  <c r="N63" i="63" s="1"/>
  <c r="O63" i="63" s="1"/>
  <c r="Q80" i="63" l="1"/>
  <c r="S80" i="63" s="1"/>
  <c r="P80" i="63"/>
  <c r="Q64" i="63"/>
  <c r="S64" i="63" s="1"/>
  <c r="P64" i="63"/>
  <c r="Q74" i="63"/>
  <c r="S74" i="63" s="1"/>
  <c r="P74" i="63"/>
  <c r="P63" i="63"/>
  <c r="Q63" i="63"/>
  <c r="S63" i="63" s="1"/>
  <c r="H38" i="18"/>
  <c r="H37" i="18"/>
  <c r="B162" i="18" l="1"/>
  <c r="B169" i="18"/>
  <c r="J90" i="63"/>
  <c r="K90" i="63" s="1"/>
  <c r="L90" i="63" s="1"/>
  <c r="B172" i="18"/>
  <c r="M90" i="63" l="1"/>
  <c r="N90" i="63" s="1"/>
  <c r="O90" i="63" s="1"/>
  <c r="C5" i="60"/>
  <c r="F42" i="60"/>
  <c r="D42" i="60"/>
  <c r="Q90" i="63" l="1"/>
  <c r="S90" i="63" s="1"/>
  <c r="P90" i="63"/>
  <c r="B157" i="18"/>
  <c r="V34" i="80"/>
  <c r="T34" i="80"/>
  <c r="T27" i="80"/>
  <c r="T28" i="80"/>
  <c r="T29" i="80"/>
  <c r="T30" i="80"/>
  <c r="T31" i="80"/>
  <c r="T32" i="80"/>
  <c r="B171" i="18" l="1"/>
  <c r="D49" i="18"/>
  <c r="H14" i="18" l="1"/>
  <c r="D57" i="18"/>
  <c r="D52" i="18"/>
  <c r="D17" i="18"/>
  <c r="B17" i="18" s="1"/>
  <c r="D53" i="18"/>
  <c r="D54" i="18"/>
  <c r="B54" i="18" s="1"/>
  <c r="H15" i="18"/>
  <c r="D18" i="18"/>
  <c r="B18" i="18" s="1"/>
  <c r="D56" i="18"/>
  <c r="D34" i="18"/>
  <c r="D25" i="18"/>
  <c r="D36" i="18"/>
  <c r="D35" i="18"/>
  <c r="B35" i="18" s="1"/>
  <c r="D37" i="18"/>
  <c r="B37" i="18" s="1"/>
  <c r="J62" i="63"/>
  <c r="K62" i="63" s="1"/>
  <c r="L62" i="63" s="1"/>
  <c r="B52" i="18" l="1"/>
  <c r="C167" i="18"/>
  <c r="C169" i="18"/>
  <c r="M62" i="63"/>
  <c r="N62" i="63" s="1"/>
  <c r="O62" i="63" s="1"/>
  <c r="D58" i="18"/>
  <c r="D60" i="18" s="1"/>
  <c r="D59" i="18" l="1"/>
  <c r="B59" i="18" s="1"/>
  <c r="Q62" i="63"/>
  <c r="S62" i="63" s="1"/>
  <c r="P62" i="63"/>
  <c r="AB20" i="63"/>
  <c r="AB21" i="63" s="1"/>
  <c r="C162" i="18"/>
  <c r="J61" i="63"/>
  <c r="K61" i="63" s="1"/>
  <c r="L61" i="63" s="1"/>
  <c r="J79" i="63"/>
  <c r="K79" i="63" s="1"/>
  <c r="L79" i="63" s="1"/>
  <c r="J73" i="63"/>
  <c r="K73" i="63" s="1"/>
  <c r="L73" i="63" s="1"/>
  <c r="M73" i="63" s="1"/>
  <c r="N73" i="63" s="1"/>
  <c r="O73" i="63" s="1"/>
  <c r="M61" i="63" l="1"/>
  <c r="N61" i="63" s="1"/>
  <c r="O61" i="63" s="1"/>
  <c r="M79" i="63"/>
  <c r="N79" i="63" s="1"/>
  <c r="O79" i="63" s="1"/>
  <c r="P73" i="63"/>
  <c r="Q73" i="63"/>
  <c r="S73" i="63" s="1"/>
  <c r="R502" i="18"/>
  <c r="R501" i="18"/>
  <c r="J72" i="63"/>
  <c r="K72" i="63" s="1"/>
  <c r="L72" i="63" s="1"/>
  <c r="J84" i="63"/>
  <c r="K84" i="63" s="1"/>
  <c r="L84" i="63" s="1"/>
  <c r="J70" i="63"/>
  <c r="K70" i="63" s="1"/>
  <c r="L70" i="63" s="1"/>
  <c r="Q61" i="63" l="1"/>
  <c r="S61" i="63" s="1"/>
  <c r="P61" i="63"/>
  <c r="Q79" i="63"/>
  <c r="S79" i="63" s="1"/>
  <c r="P79" i="63"/>
  <c r="M72" i="63"/>
  <c r="N72" i="63" s="1"/>
  <c r="O72" i="63" s="1"/>
  <c r="M84" i="63"/>
  <c r="N84" i="63" s="1"/>
  <c r="O84" i="63" s="1"/>
  <c r="M70" i="63"/>
  <c r="N70" i="63" s="1"/>
  <c r="O70" i="63" s="1"/>
  <c r="B164" i="18"/>
  <c r="J36" i="80"/>
  <c r="P72" i="63" l="1"/>
  <c r="Q72" i="63"/>
  <c r="S72" i="63" s="1"/>
  <c r="Q84" i="63"/>
  <c r="S84" i="63" s="1"/>
  <c r="P84" i="63"/>
  <c r="Q70" i="63"/>
  <c r="S70" i="63" s="1"/>
  <c r="P70" i="63"/>
  <c r="J85" i="63"/>
  <c r="K85" i="63" s="1"/>
  <c r="L85" i="63" s="1"/>
  <c r="M85" i="63" s="1"/>
  <c r="J83" i="63"/>
  <c r="K83" i="63" s="1"/>
  <c r="L83" i="63" s="1"/>
  <c r="J69" i="63"/>
  <c r="K69" i="63" s="1"/>
  <c r="L69" i="63" s="1"/>
  <c r="J68" i="63"/>
  <c r="K68" i="63" s="1"/>
  <c r="L68" i="63" s="1"/>
  <c r="B166" i="18"/>
  <c r="N85" i="63" l="1"/>
  <c r="O85" i="63" s="1"/>
  <c r="M83" i="63"/>
  <c r="N83" i="63" s="1"/>
  <c r="O83" i="63" s="1"/>
  <c r="M69" i="63"/>
  <c r="N69" i="63" s="1"/>
  <c r="O69" i="63" s="1"/>
  <c r="M68" i="63"/>
  <c r="N68" i="63" s="1"/>
  <c r="O68" i="63" s="1"/>
  <c r="Q85" i="63" l="1"/>
  <c r="S85" i="63" s="1"/>
  <c r="P85" i="63"/>
  <c r="Q83" i="63"/>
  <c r="S83" i="63" s="1"/>
  <c r="P83" i="63"/>
  <c r="Q69" i="63"/>
  <c r="S69" i="63" s="1"/>
  <c r="P69" i="63"/>
  <c r="Q68" i="63"/>
  <c r="S68" i="63" s="1"/>
  <c r="P68" i="63"/>
  <c r="T24" i="63"/>
  <c r="J67" i="63"/>
  <c r="K67" i="63" s="1"/>
  <c r="L67" i="63" s="1"/>
  <c r="W166" i="63"/>
  <c r="W167" i="63" s="1"/>
  <c r="V166" i="63"/>
  <c r="V167" i="63" s="1"/>
  <c r="M67" i="63" l="1"/>
  <c r="N67" i="63" s="1"/>
  <c r="O67" i="63" s="1"/>
  <c r="H36" i="80"/>
  <c r="G36" i="80"/>
  <c r="I36" i="80"/>
  <c r="K36" i="80"/>
  <c r="Q67" i="63" l="1"/>
  <c r="S67" i="63" s="1"/>
  <c r="P67" i="63"/>
  <c r="Y21" i="63"/>
  <c r="J66" i="63"/>
  <c r="K66" i="63" s="1"/>
  <c r="L66" i="63" s="1"/>
  <c r="M66" i="63" s="1"/>
  <c r="X20" i="63"/>
  <c r="W20" i="63" s="1"/>
  <c r="W21" i="63" s="1"/>
  <c r="N66" i="63" l="1"/>
  <c r="O66" i="63" s="1"/>
  <c r="P66" i="63" s="1"/>
  <c r="R500" i="18"/>
  <c r="P513" i="18"/>
  <c r="Q66" i="63" l="1"/>
  <c r="S66" i="63" s="1"/>
  <c r="T166" i="63"/>
  <c r="T167" i="63" s="1"/>
  <c r="U167" i="63"/>
  <c r="B173" i="18"/>
  <c r="J92" i="63"/>
  <c r="K92" i="63" s="1"/>
  <c r="L92" i="63" s="1"/>
  <c r="M92" i="63" l="1"/>
  <c r="N92" i="63" s="1"/>
  <c r="O92" i="63" s="1"/>
  <c r="B170" i="18"/>
  <c r="B165" i="18"/>
  <c r="J89" i="63"/>
  <c r="K89" i="63" s="1"/>
  <c r="L89" i="63" s="1"/>
  <c r="M89" i="63" s="1"/>
  <c r="J82" i="63"/>
  <c r="K82" i="63" s="1"/>
  <c r="L82" i="63" s="1"/>
  <c r="J81" i="63"/>
  <c r="K81" i="63" s="1"/>
  <c r="L81" i="63" s="1"/>
  <c r="B60" i="18"/>
  <c r="B36" i="80"/>
  <c r="P92" i="63" l="1"/>
  <c r="Q92" i="63"/>
  <c r="S92" i="63" s="1"/>
  <c r="N89" i="63"/>
  <c r="O89" i="63" s="1"/>
  <c r="M81" i="63"/>
  <c r="N81" i="63" s="1"/>
  <c r="O81" i="63" s="1"/>
  <c r="M82" i="63"/>
  <c r="N82" i="63" s="1"/>
  <c r="O82" i="63" s="1"/>
  <c r="B37" i="80"/>
  <c r="B38" i="80" s="1"/>
  <c r="B39" i="80" s="1"/>
  <c r="B40" i="80" s="1"/>
  <c r="B41" i="80" s="1"/>
  <c r="B42" i="80" s="1"/>
  <c r="C42" i="80" s="1"/>
  <c r="H99" i="80"/>
  <c r="G99" i="80"/>
  <c r="F99" i="80"/>
  <c r="I62" i="80"/>
  <c r="H62" i="80"/>
  <c r="G62" i="80"/>
  <c r="F62" i="80"/>
  <c r="F52" i="80"/>
  <c r="J52" i="80"/>
  <c r="I52" i="80"/>
  <c r="H52" i="80"/>
  <c r="G52" i="80"/>
  <c r="G45" i="80"/>
  <c r="H45" i="80"/>
  <c r="F45" i="80"/>
  <c r="Q89" i="63" l="1"/>
  <c r="S89" i="63" s="1"/>
  <c r="P89" i="63"/>
  <c r="Q82" i="63"/>
  <c r="S82" i="63" s="1"/>
  <c r="P82" i="63"/>
  <c r="Q81" i="63"/>
  <c r="S81" i="63" s="1"/>
  <c r="P81" i="63"/>
  <c r="H46" i="80"/>
  <c r="H47" i="80" s="1"/>
  <c r="G46" i="80"/>
  <c r="G47" i="80" s="1"/>
  <c r="F46" i="80"/>
  <c r="F47" i="80" s="1"/>
  <c r="B43" i="80"/>
  <c r="B44" i="80" s="1"/>
  <c r="B45" i="80" s="1"/>
  <c r="B46" i="80" s="1"/>
  <c r="B47" i="80" s="1"/>
  <c r="B48" i="80" s="1"/>
  <c r="C48" i="80" s="1"/>
  <c r="V17" i="63"/>
  <c r="J93" i="63"/>
  <c r="K93" i="63" s="1"/>
  <c r="L93" i="63" s="1"/>
  <c r="M93" i="63" s="1"/>
  <c r="J39" i="63"/>
  <c r="K39" i="63" s="1"/>
  <c r="L39" i="63" s="1"/>
  <c r="M39" i="63" s="1"/>
  <c r="N39" i="63" s="1"/>
  <c r="O39" i="63" s="1"/>
  <c r="J42" i="63"/>
  <c r="K42" i="63" s="1"/>
  <c r="L42" i="63" s="1"/>
  <c r="M42" i="63" s="1"/>
  <c r="N42" i="63" s="1"/>
  <c r="J41" i="63"/>
  <c r="K41" i="63" s="1"/>
  <c r="L41" i="63" s="1"/>
  <c r="M41" i="63" s="1"/>
  <c r="N41" i="63" s="1"/>
  <c r="O41" i="63" s="1"/>
  <c r="J40" i="63"/>
  <c r="K40" i="63" s="1"/>
  <c r="L4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O42" i="63"/>
  <c r="P42" i="63" s="1"/>
  <c r="P39" i="63"/>
  <c r="P41" i="63"/>
  <c r="Q41" i="63"/>
  <c r="S41" i="63" s="1"/>
  <c r="Q39" i="63"/>
  <c r="S39" i="63" s="1"/>
  <c r="N93" i="63"/>
  <c r="O93" i="63" s="1"/>
  <c r="M40" i="63"/>
  <c r="N40" i="63" s="1"/>
  <c r="O40"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Q42" i="63"/>
  <c r="S42" i="63" s="1"/>
  <c r="P40" i="63"/>
  <c r="Q40" i="63"/>
  <c r="S40" i="63" s="1"/>
  <c r="H100" i="80" l="1"/>
  <c r="H101" i="80" s="1"/>
  <c r="G100" i="80"/>
  <c r="G101" i="80" s="1"/>
  <c r="F100" i="80"/>
  <c r="F101" i="80" s="1"/>
  <c r="B97" i="80"/>
  <c r="P93" i="63"/>
  <c r="Q93" i="63"/>
  <c r="S93" i="63" s="1"/>
  <c r="R499" i="18"/>
  <c r="C173" i="18" l="1"/>
  <c r="B161" i="18"/>
  <c r="B158" i="18"/>
  <c r="S20" i="63"/>
  <c r="H96" i="63" l="1"/>
  <c r="R498" i="18"/>
  <c r="R497" i="18"/>
  <c r="J60" i="63" l="1"/>
  <c r="K60" i="63" s="1"/>
  <c r="L60" i="63" s="1"/>
  <c r="J59" i="63"/>
  <c r="K59" i="63" s="1"/>
  <c r="L59" i="63" s="1"/>
  <c r="J58" i="63"/>
  <c r="K58" i="63" s="1"/>
  <c r="L58" i="63" s="1"/>
  <c r="M58" i="63" s="1"/>
  <c r="N58" i="63" s="1"/>
  <c r="O58" i="63" s="1"/>
  <c r="J57" i="63"/>
  <c r="K57" i="63" s="1"/>
  <c r="L57" i="63" s="1"/>
  <c r="M57" i="63" s="1"/>
  <c r="N57" i="63" s="1"/>
  <c r="O57" i="63" s="1"/>
  <c r="J56" i="63"/>
  <c r="K56" i="63" s="1"/>
  <c r="L56" i="63" s="1"/>
  <c r="M56" i="63" s="1"/>
  <c r="N56" i="63" s="1"/>
  <c r="O56" i="63" s="1"/>
  <c r="P56" i="63" s="1"/>
  <c r="J78" i="63"/>
  <c r="K78" i="63" s="1"/>
  <c r="L78" i="63" s="1"/>
  <c r="J55" i="63"/>
  <c r="K55" i="63" s="1"/>
  <c r="L55" i="63" s="1"/>
  <c r="M55" i="63" s="1"/>
  <c r="N55" i="63" s="1"/>
  <c r="O55" i="63" s="1"/>
  <c r="J54" i="63"/>
  <c r="K54" i="63" s="1"/>
  <c r="L54" i="63" s="1"/>
  <c r="J53" i="63"/>
  <c r="K53" i="63" s="1"/>
  <c r="L53" i="63" s="1"/>
  <c r="J76" i="63"/>
  <c r="K76" i="63" s="1"/>
  <c r="L76" i="63" s="1"/>
  <c r="M76" i="63" s="1"/>
  <c r="N76" i="63" s="1"/>
  <c r="O76" i="63" s="1"/>
  <c r="P76" i="63" s="1"/>
  <c r="J77" i="63"/>
  <c r="K77" i="63" s="1"/>
  <c r="L77" i="63" s="1"/>
  <c r="J52" i="63"/>
  <c r="K52" i="63" s="1"/>
  <c r="L52" i="63" s="1"/>
  <c r="M52" i="63" s="1"/>
  <c r="N52" i="63" s="1"/>
  <c r="O52" i="63" s="1"/>
  <c r="Q52" i="63" s="1"/>
  <c r="S52" i="63" s="1"/>
  <c r="J51" i="63"/>
  <c r="K51" i="63" s="1"/>
  <c r="L51" i="63" s="1"/>
  <c r="M51" i="63" s="1"/>
  <c r="N51" i="63" s="1"/>
  <c r="O51" i="63" s="1"/>
  <c r="J50" i="63"/>
  <c r="K50" i="63" s="1"/>
  <c r="L50" i="63" s="1"/>
  <c r="M50" i="63" s="1"/>
  <c r="N50" i="63" s="1"/>
  <c r="R496" i="18"/>
  <c r="S26" i="63"/>
  <c r="S27" i="63"/>
  <c r="M59" i="63" l="1"/>
  <c r="N59" i="63" s="1"/>
  <c r="O59" i="63" s="1"/>
  <c r="M60" i="63"/>
  <c r="N60" i="63" s="1"/>
  <c r="O60" i="63" s="1"/>
  <c r="Q58" i="63"/>
  <c r="S58" i="63" s="1"/>
  <c r="P58" i="63"/>
  <c r="Q57" i="63"/>
  <c r="S57" i="63" s="1"/>
  <c r="P57" i="63"/>
  <c r="Q56" i="63"/>
  <c r="S56" i="63" s="1"/>
  <c r="M78" i="63"/>
  <c r="N78" i="63" s="1"/>
  <c r="O78" i="63" s="1"/>
  <c r="Q55" i="63"/>
  <c r="S55" i="63" s="1"/>
  <c r="P55" i="63"/>
  <c r="M54" i="63"/>
  <c r="N54" i="63" s="1"/>
  <c r="O54" i="63" s="1"/>
  <c r="M53" i="63"/>
  <c r="N53" i="63" s="1"/>
  <c r="O53" i="63" s="1"/>
  <c r="Q76" i="63"/>
  <c r="S76" i="63" s="1"/>
  <c r="M77" i="63"/>
  <c r="N77" i="63" s="1"/>
  <c r="O77" i="63" s="1"/>
  <c r="P52" i="63"/>
  <c r="O50" i="63"/>
  <c r="P50" i="63" s="1"/>
  <c r="P51" i="63"/>
  <c r="Q51" i="63"/>
  <c r="S51" i="63" s="1"/>
  <c r="D32" i="18"/>
  <c r="B32" i="18" s="1"/>
  <c r="E29" i="80"/>
  <c r="E28" i="80"/>
  <c r="Q60" i="63" l="1"/>
  <c r="S60" i="63" s="1"/>
  <c r="P60" i="63"/>
  <c r="Q59" i="63"/>
  <c r="S59" i="63" s="1"/>
  <c r="P59" i="63"/>
  <c r="Q78" i="63"/>
  <c r="S78" i="63" s="1"/>
  <c r="P78" i="63"/>
  <c r="Q54" i="63"/>
  <c r="S54" i="63" s="1"/>
  <c r="P54" i="63"/>
  <c r="Q53" i="63"/>
  <c r="S53" i="63" s="1"/>
  <c r="P53" i="63"/>
  <c r="Q77" i="63"/>
  <c r="S77" i="63" s="1"/>
  <c r="P77" i="63"/>
  <c r="Q50" i="63"/>
  <c r="S50" i="63" s="1"/>
  <c r="S96" i="63" l="1"/>
  <c r="E20" i="80"/>
  <c r="F20" i="80" s="1"/>
  <c r="D55" i="18" l="1"/>
  <c r="C168" i="18"/>
  <c r="B25" i="18"/>
  <c r="D51" i="18"/>
  <c r="B51" i="18" s="1"/>
  <c r="B57" i="18"/>
  <c r="D7" i="18"/>
  <c r="B7" i="18" s="1"/>
  <c r="D16" i="18"/>
  <c r="B16" i="18" s="1"/>
  <c r="C164" i="18"/>
  <c r="D15" i="18"/>
  <c r="B15" i="18" s="1"/>
  <c r="D6" i="18"/>
  <c r="B6" i="18" s="1"/>
  <c r="B34" i="18"/>
  <c r="D24" i="18"/>
  <c r="B24" i="18" s="1"/>
  <c r="D33" i="18"/>
  <c r="B33" i="18" s="1"/>
  <c r="D50" i="18"/>
  <c r="B56" i="18"/>
  <c r="D14" i="18"/>
  <c r="B14" i="18" s="1"/>
  <c r="D23" i="18"/>
  <c r="B49" i="18"/>
  <c r="D5" i="18"/>
  <c r="B5" i="18" s="1"/>
  <c r="B58" i="18"/>
  <c r="R495" i="18"/>
  <c r="C165" i="18" l="1"/>
  <c r="B55" i="18"/>
  <c r="C171" i="18"/>
  <c r="B23" i="18"/>
  <c r="B53" i="18"/>
  <c r="B50" i="18"/>
  <c r="C172" i="18"/>
  <c r="B36" i="18"/>
  <c r="C170" i="18"/>
  <c r="C166" i="18"/>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63" i="18"/>
  <c r="E19" i="80" l="1"/>
  <c r="R489" i="18" l="1"/>
  <c r="R488" i="18" l="1"/>
  <c r="I95" i="63" l="1"/>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72" i="18"/>
  <c r="D71" i="18"/>
  <c r="R484" i="18"/>
  <c r="R483" i="18"/>
  <c r="R482" i="18"/>
  <c r="R481" i="18" l="1"/>
  <c r="N508" i="18" l="1"/>
  <c r="R480" i="18"/>
  <c r="R479" i="18" l="1"/>
  <c r="I100" i="63"/>
  <c r="R478" i="18" l="1"/>
  <c r="E74" i="18" l="1"/>
  <c r="F75" i="18"/>
  <c r="G52" i="10"/>
  <c r="G51" i="10"/>
  <c r="H319" i="18" l="1"/>
  <c r="R477" i="18"/>
  <c r="R476" i="18" l="1"/>
  <c r="R475" i="18" l="1"/>
  <c r="R474" i="18" l="1"/>
  <c r="D74" i="18"/>
  <c r="R473" i="18" l="1"/>
  <c r="R472" i="18" l="1"/>
  <c r="D61" i="18"/>
  <c r="D13" i="18"/>
  <c r="C161" i="18" s="1"/>
  <c r="D62" i="18" l="1"/>
  <c r="B62" i="18" s="1"/>
  <c r="C160" i="18"/>
  <c r="D39" i="18"/>
  <c r="B13" i="18"/>
  <c r="D4" i="18"/>
  <c r="B4" i="18" s="1"/>
  <c r="D27" i="18"/>
  <c r="B27" i="18" s="1"/>
  <c r="J57" i="18" l="1"/>
  <c r="I99" i="63"/>
  <c r="H99" i="63"/>
  <c r="G99" i="63"/>
  <c r="J99" i="63" l="1"/>
  <c r="K99" i="63" s="1"/>
  <c r="H100" i="63" l="1"/>
  <c r="G100" i="63"/>
  <c r="J100" i="63" l="1"/>
  <c r="K100" i="63" s="1"/>
  <c r="R471" i="18" l="1"/>
  <c r="R470" i="18" l="1"/>
  <c r="G124" i="63" l="1"/>
  <c r="H124" i="63"/>
  <c r="I124" i="63"/>
  <c r="G125" i="63"/>
  <c r="H125" i="63"/>
  <c r="I125" i="63"/>
  <c r="H123" i="63"/>
  <c r="I123" i="63"/>
  <c r="G123" i="63"/>
  <c r="I122" i="63"/>
  <c r="G122" i="63"/>
  <c r="H122" i="63"/>
  <c r="J123" i="63" l="1"/>
  <c r="K123" i="63" s="1"/>
  <c r="J122" i="63"/>
  <c r="K122" i="63" s="1"/>
  <c r="J125" i="63"/>
  <c r="K125" i="63" s="1"/>
  <c r="J124" i="63"/>
  <c r="K124" i="63" s="1"/>
  <c r="R467" i="18"/>
  <c r="R461" i="18"/>
  <c r="K9" i="18"/>
  <c r="K10" i="18" s="1"/>
  <c r="H10" i="18"/>
  <c r="H9" i="18"/>
  <c r="R455" i="18"/>
  <c r="R454" i="18"/>
  <c r="R469" i="18" l="1"/>
  <c r="R468" i="18" l="1"/>
  <c r="I119" i="63"/>
  <c r="G119" i="63"/>
  <c r="H119" i="63"/>
  <c r="J119" i="63" l="1"/>
  <c r="K119" i="63" s="1"/>
  <c r="I121" i="63"/>
  <c r="G121" i="63" l="1"/>
  <c r="H121" i="63"/>
  <c r="J121" i="63" s="1"/>
  <c r="K121" i="63" s="1"/>
  <c r="I120" i="63"/>
  <c r="G120" i="63"/>
  <c r="H120" i="63"/>
  <c r="G116" i="63"/>
  <c r="H116" i="63"/>
  <c r="I116" i="63"/>
  <c r="I118" i="63"/>
  <c r="H118" i="63"/>
  <c r="G118" i="63"/>
  <c r="I115" i="63"/>
  <c r="J116" i="63" l="1"/>
  <c r="K116" i="63" s="1"/>
  <c r="J120" i="63"/>
  <c r="K120" i="63" s="1"/>
  <c r="J118" i="63"/>
  <c r="K118" i="63" s="1"/>
  <c r="G115" i="63" l="1"/>
  <c r="H115" i="63"/>
  <c r="J115" i="63" s="1"/>
  <c r="K115" i="63" s="1"/>
  <c r="I113" i="63"/>
  <c r="H113" i="63"/>
  <c r="G113" i="63"/>
  <c r="I110" i="63"/>
  <c r="H110" i="63"/>
  <c r="G110" i="63"/>
  <c r="I111" i="63"/>
  <c r="I114" i="63"/>
  <c r="I117" i="63"/>
  <c r="H111" i="63"/>
  <c r="H114" i="63"/>
  <c r="G111" i="63"/>
  <c r="G114" i="63"/>
  <c r="G117" i="63"/>
  <c r="H117" i="63"/>
  <c r="I112" i="63"/>
  <c r="I105" i="63"/>
  <c r="B61" i="18"/>
  <c r="I126" i="63"/>
  <c r="G126" i="63"/>
  <c r="I109" i="63"/>
  <c r="G109" i="63"/>
  <c r="H109" i="63"/>
  <c r="J110" i="63" l="1"/>
  <c r="K110" i="63" s="1"/>
  <c r="J111" i="63"/>
  <c r="K111" i="63" s="1"/>
  <c r="J113" i="63"/>
  <c r="K113" i="63" s="1"/>
  <c r="J117" i="63"/>
  <c r="K117" i="63" s="1"/>
  <c r="J114" i="63"/>
  <c r="K114" i="63" s="1"/>
  <c r="J109" i="63"/>
  <c r="K109" i="63" s="1"/>
  <c r="I108" i="63"/>
  <c r="R466" i="18"/>
  <c r="G107" i="63" l="1"/>
  <c r="H107" i="63"/>
  <c r="I107" i="63"/>
  <c r="G108" i="63"/>
  <c r="H108" i="63"/>
  <c r="G112" i="63"/>
  <c r="H112" i="63"/>
  <c r="H126" i="63"/>
  <c r="I106" i="63"/>
  <c r="H106" i="63"/>
  <c r="G106" i="63"/>
  <c r="H105" i="63"/>
  <c r="G105" i="63"/>
  <c r="J126" i="63" l="1"/>
  <c r="K126" i="63" s="1"/>
  <c r="J107" i="63"/>
  <c r="K107" i="63" s="1"/>
  <c r="J105" i="63"/>
  <c r="K105" i="63" s="1"/>
  <c r="J112" i="63"/>
  <c r="K112" i="63" s="1"/>
  <c r="J106" i="63"/>
  <c r="K106" i="63" s="1"/>
  <c r="J108" i="63"/>
  <c r="K108" i="63" s="1"/>
  <c r="R465" i="18"/>
  <c r="I5" i="60"/>
  <c r="G5" i="60"/>
  <c r="R464" i="18" l="1"/>
  <c r="R463" i="18"/>
  <c r="D45"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44" i="18" l="1"/>
  <c r="C159" i="18" s="1"/>
  <c r="D43" i="18"/>
  <c r="C158" i="18" s="1"/>
  <c r="D42" i="18"/>
  <c r="D75" i="18" l="1"/>
  <c r="C157" i="18"/>
  <c r="F76" i="18"/>
  <c r="E75" i="18"/>
  <c r="D22" i="18"/>
  <c r="R460" i="18"/>
  <c r="C175" i="18" l="1"/>
  <c r="D159" i="18" s="1"/>
  <c r="V24" i="63"/>
  <c r="R459" i="18"/>
  <c r="D169" i="18" l="1"/>
  <c r="D163" i="18"/>
  <c r="D171" i="18"/>
  <c r="D157" i="18"/>
  <c r="D168" i="18"/>
  <c r="D175" i="18"/>
  <c r="D173" i="18"/>
  <c r="D162" i="18"/>
  <c r="D164" i="18"/>
  <c r="D170" i="18"/>
  <c r="D172" i="18"/>
  <c r="D165" i="18"/>
  <c r="D166" i="18"/>
  <c r="D161" i="18"/>
  <c r="D160" i="18"/>
  <c r="D158" i="18"/>
  <c r="C13" i="71"/>
  <c r="G129" i="63" l="1"/>
  <c r="H129" i="63"/>
  <c r="I129" i="63"/>
  <c r="G132" i="63"/>
  <c r="H132" i="63"/>
  <c r="I132" i="63"/>
  <c r="J132" i="63" l="1"/>
  <c r="K132" i="63" s="1"/>
  <c r="J129" i="63"/>
  <c r="K129" i="63" s="1"/>
  <c r="R458" i="18"/>
  <c r="I96" i="63" l="1"/>
  <c r="R457" i="18" l="1"/>
  <c r="I4" i="60" l="1"/>
  <c r="I3" i="60"/>
  <c r="B12" i="18" l="1"/>
  <c r="I18" i="60"/>
  <c r="G102" i="63" l="1"/>
  <c r="I102" i="63"/>
  <c r="H102" i="63"/>
  <c r="B39" i="18"/>
  <c r="J102" i="63" l="1"/>
  <c r="K102" i="63" s="1"/>
  <c r="R456" i="18" l="1"/>
  <c r="G95" i="63" l="1"/>
  <c r="H95" i="63"/>
  <c r="G96" i="63"/>
  <c r="J95" i="63" l="1"/>
  <c r="K95" i="63" s="1"/>
  <c r="J96" i="63"/>
  <c r="K96" i="63" s="1"/>
  <c r="E19" i="70"/>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38"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26" i="18" l="1"/>
  <c r="B26"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11"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57" i="63"/>
  <c r="I158" i="63"/>
  <c r="G158" i="63"/>
  <c r="H158" i="63"/>
  <c r="G157" i="63"/>
  <c r="H157" i="63"/>
  <c r="J158" i="63" l="1"/>
  <c r="K158" i="63" s="1"/>
  <c r="J157" i="63"/>
  <c r="K15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56" i="63"/>
  <c r="H156" i="63"/>
  <c r="I154" i="63"/>
  <c r="I155" i="63"/>
  <c r="I156" i="63"/>
  <c r="I160" i="63"/>
  <c r="J160" i="63" s="1"/>
  <c r="K160" i="63" s="1"/>
  <c r="G155" i="63"/>
  <c r="H155" i="63"/>
  <c r="D10" i="18"/>
  <c r="J156" i="63" l="1"/>
  <c r="K156" i="63" s="1"/>
  <c r="J155" i="63"/>
  <c r="K155" i="63" s="1"/>
  <c r="I153" i="63"/>
  <c r="G154" i="63"/>
  <c r="H154" i="63"/>
  <c r="I151" i="63"/>
  <c r="I152" i="63"/>
  <c r="G153" i="63"/>
  <c r="H153" i="63"/>
  <c r="J154" i="63" l="1"/>
  <c r="K154" i="63" s="1"/>
  <c r="J153" i="63"/>
  <c r="K153" i="63" s="1"/>
  <c r="R435" i="18" l="1"/>
  <c r="H151" i="63"/>
  <c r="H152" i="63"/>
  <c r="G152" i="63"/>
  <c r="J152" i="63" l="1"/>
  <c r="K152" i="63" s="1"/>
  <c r="J151" i="63"/>
  <c r="K151"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34" i="63" l="1"/>
  <c r="H134" i="63"/>
  <c r="I134" i="63"/>
  <c r="G135" i="63"/>
  <c r="H135" i="63"/>
  <c r="I135" i="63"/>
  <c r="G136" i="63"/>
  <c r="H136" i="63"/>
  <c r="I136" i="63"/>
  <c r="G137" i="63"/>
  <c r="H137" i="63"/>
  <c r="I137" i="63"/>
  <c r="G138" i="63"/>
  <c r="H138" i="63"/>
  <c r="I138" i="63"/>
  <c r="G139" i="63"/>
  <c r="H139" i="63"/>
  <c r="I139" i="63"/>
  <c r="G140" i="63"/>
  <c r="H140" i="63"/>
  <c r="I140" i="63"/>
  <c r="G141" i="63"/>
  <c r="H141" i="63"/>
  <c r="I141" i="63"/>
  <c r="G142" i="63"/>
  <c r="H142" i="63"/>
  <c r="I142" i="63"/>
  <c r="G143" i="63"/>
  <c r="H143" i="63"/>
  <c r="I143" i="63"/>
  <c r="G144" i="63"/>
  <c r="H144" i="63"/>
  <c r="I144" i="63"/>
  <c r="G145" i="63"/>
  <c r="H145" i="63"/>
  <c r="I145" i="63"/>
  <c r="G146" i="63"/>
  <c r="H146" i="63"/>
  <c r="I146" i="63"/>
  <c r="G147" i="63"/>
  <c r="H147" i="63"/>
  <c r="I147" i="63"/>
  <c r="G148" i="63"/>
  <c r="H148" i="63"/>
  <c r="I148" i="63"/>
  <c r="G149" i="63"/>
  <c r="H149" i="63"/>
  <c r="I149" i="63"/>
  <c r="G150" i="63"/>
  <c r="H150" i="63"/>
  <c r="I150" i="63"/>
  <c r="G151" i="63"/>
  <c r="J144" i="63" l="1"/>
  <c r="K144" i="63" s="1"/>
  <c r="J143" i="63"/>
  <c r="K143" i="63" s="1"/>
  <c r="J138" i="63"/>
  <c r="K138" i="63" s="1"/>
  <c r="J137" i="63"/>
  <c r="K137" i="63" s="1"/>
  <c r="J134" i="63"/>
  <c r="K134" i="63" s="1"/>
  <c r="J146" i="63"/>
  <c r="K146" i="63" s="1"/>
  <c r="J145" i="63"/>
  <c r="K145" i="63" s="1"/>
  <c r="J140" i="63"/>
  <c r="K140" i="63" s="1"/>
  <c r="J139" i="63"/>
  <c r="K139" i="63" s="1"/>
  <c r="J147" i="63"/>
  <c r="K147" i="63" s="1"/>
  <c r="J142" i="63"/>
  <c r="K142" i="63" s="1"/>
  <c r="J141" i="63"/>
  <c r="K141" i="63" s="1"/>
  <c r="J136" i="63"/>
  <c r="K136" i="63" s="1"/>
  <c r="J148" i="63"/>
  <c r="K148" i="63" s="1"/>
  <c r="J150" i="63"/>
  <c r="K150" i="63" s="1"/>
  <c r="J149" i="63"/>
  <c r="K149" i="63" s="1"/>
  <c r="J135" i="63"/>
  <c r="K135" i="63" s="1"/>
  <c r="G133" i="63"/>
  <c r="H133" i="63"/>
  <c r="I133" i="63"/>
  <c r="J133" i="63" l="1"/>
  <c r="K13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42"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31" i="18"/>
  <c r="D3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1" i="18"/>
  <c r="B10" i="18"/>
  <c r="H4" i="18" l="1"/>
  <c r="E109" i="72"/>
  <c r="D108" i="72"/>
  <c r="E108" i="72" l="1"/>
  <c r="D107" i="72"/>
  <c r="R377" i="18"/>
  <c r="E107" i="72" l="1"/>
  <c r="D106" i="72"/>
  <c r="E106" i="72" l="1"/>
  <c r="D105" i="72"/>
  <c r="D104" i="72" l="1"/>
  <c r="E105" i="72"/>
  <c r="E104" i="72" l="1"/>
  <c r="D103" i="72"/>
  <c r="R376" i="18"/>
  <c r="R375" i="18"/>
  <c r="R374" i="18"/>
  <c r="E103" i="72" l="1"/>
  <c r="D102" i="72"/>
  <c r="E183" i="63"/>
  <c r="R373" i="18"/>
  <c r="D101" i="72" l="1"/>
  <c r="E102" i="72"/>
  <c r="R372" i="18"/>
  <c r="D100" i="72" l="1"/>
  <c r="E101" i="72"/>
  <c r="E100" i="72" l="1"/>
  <c r="D99" i="72"/>
  <c r="E99" i="72" l="1"/>
  <c r="D98" i="72"/>
  <c r="E98" i="72" l="1"/>
  <c r="D97" i="72"/>
  <c r="D182" i="63"/>
  <c r="E182" i="63"/>
  <c r="G182" i="63" s="1"/>
  <c r="D183" i="63"/>
  <c r="G183" i="63"/>
  <c r="D184" i="63"/>
  <c r="E184" i="63"/>
  <c r="G184" i="63" s="1"/>
  <c r="D185" i="63"/>
  <c r="E185" i="63"/>
  <c r="G185" i="63" s="1"/>
  <c r="D186" i="63"/>
  <c r="E186" i="63"/>
  <c r="G186" i="63" s="1"/>
  <c r="D187" i="63"/>
  <c r="E187" i="63"/>
  <c r="G187" i="63" s="1"/>
  <c r="D188" i="63"/>
  <c r="E188" i="63"/>
  <c r="G188" i="63" s="1"/>
  <c r="D189" i="63"/>
  <c r="E189" i="63"/>
  <c r="G189" i="63" s="1"/>
  <c r="D190" i="63"/>
  <c r="E190" i="63"/>
  <c r="G190" i="63" s="1"/>
  <c r="D191" i="63"/>
  <c r="E191" i="63"/>
  <c r="G191" i="63" s="1"/>
  <c r="D192" i="63"/>
  <c r="E192" i="63"/>
  <c r="G192" i="63" s="1"/>
  <c r="D193" i="63"/>
  <c r="E193" i="63"/>
  <c r="G193" i="63" s="1"/>
  <c r="D194" i="63"/>
  <c r="E194" i="63"/>
  <c r="G194" i="63" s="1"/>
  <c r="D195" i="63"/>
  <c r="E195" i="63"/>
  <c r="G195" i="63" s="1"/>
  <c r="D196" i="63"/>
  <c r="E196" i="63"/>
  <c r="G196" i="63" s="1"/>
  <c r="D197" i="63"/>
  <c r="E197" i="63"/>
  <c r="G197" i="63" s="1"/>
  <c r="D198" i="63"/>
  <c r="E198" i="63"/>
  <c r="G198" i="63" s="1"/>
  <c r="D199" i="63"/>
  <c r="E199" i="63"/>
  <c r="G199" i="63" s="1"/>
  <c r="D200" i="63"/>
  <c r="E200" i="63"/>
  <c r="D201" i="63"/>
  <c r="E201" i="63"/>
  <c r="D202" i="63"/>
  <c r="E202" i="63"/>
  <c r="D203" i="63"/>
  <c r="E203" i="63"/>
  <c r="E181" i="63"/>
  <c r="G181" i="63" s="1"/>
  <c r="D18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38" i="18"/>
  <c r="B45"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44"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3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2"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64" i="18"/>
  <c r="B43"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30" i="18"/>
  <c r="C68" i="18" s="1"/>
  <c r="E70" i="18" l="1"/>
  <c r="E47" i="18"/>
  <c r="E48" i="18"/>
  <c r="E46" i="18"/>
  <c r="E54" i="18"/>
  <c r="E52" i="18"/>
  <c r="E49" i="18"/>
  <c r="E57" i="18"/>
  <c r="E51" i="18"/>
  <c r="E50" i="18"/>
  <c r="E55" i="18"/>
  <c r="E53" i="18"/>
  <c r="E45" i="18"/>
  <c r="H2" i="18"/>
  <c r="J55" i="18"/>
  <c r="K55" i="18" s="1"/>
  <c r="AL515" i="18"/>
  <c r="AL516" i="18" s="1"/>
  <c r="AO94" i="18"/>
  <c r="AN93" i="18"/>
  <c r="AN311" i="18"/>
  <c r="AO312" i="18"/>
  <c r="H17" i="18" l="1"/>
  <c r="O516" i="18" s="1"/>
  <c r="E17" i="18"/>
  <c r="E59" i="18"/>
  <c r="E60" i="18"/>
  <c r="E18" i="18"/>
  <c r="E35" i="18"/>
  <c r="E37" i="18"/>
  <c r="E36" i="18"/>
  <c r="E2" i="18"/>
  <c r="E9" i="18"/>
  <c r="E20" i="18"/>
  <c r="E41" i="18"/>
  <c r="E29" i="18"/>
  <c r="E32" i="18"/>
  <c r="E6" i="18"/>
  <c r="E7" i="18"/>
  <c r="E24" i="18"/>
  <c r="E23" i="18"/>
  <c r="E56" i="18"/>
  <c r="E15" i="18"/>
  <c r="E25" i="18"/>
  <c r="E58" i="18"/>
  <c r="E33" i="18"/>
  <c r="E5" i="18"/>
  <c r="E14" i="18"/>
  <c r="E34" i="18"/>
  <c r="E16" i="18"/>
  <c r="E63" i="18"/>
  <c r="E62" i="18"/>
  <c r="E4" i="18"/>
  <c r="E13" i="18"/>
  <c r="E27" i="18"/>
  <c r="E61" i="18"/>
  <c r="E12" i="18"/>
  <c r="E39" i="18"/>
  <c r="E26" i="18"/>
  <c r="E3" i="18"/>
  <c r="E42" i="18"/>
  <c r="E11" i="18"/>
  <c r="E10" i="18"/>
  <c r="E38" i="18"/>
  <c r="E44" i="18"/>
  <c r="E31" i="18"/>
  <c r="E22" i="18"/>
  <c r="E43" i="18"/>
  <c r="E64" i="18"/>
  <c r="E21" i="18"/>
  <c r="E3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70" i="18" l="1"/>
  <c r="F71" i="18"/>
  <c r="F73" i="18" s="1"/>
  <c r="E1" i="18"/>
  <c r="D70" i="18"/>
  <c r="D73" i="18" s="1"/>
  <c r="E72" i="18"/>
  <c r="AL289" i="18"/>
  <c r="AL291" i="18"/>
  <c r="P529" i="18"/>
  <c r="Q529" i="18" s="1"/>
  <c r="D72" i="18" l="1"/>
  <c r="F74" i="18"/>
  <c r="E73"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<sst xmlns="http://schemas.openxmlformats.org/spreadsheetml/2006/main" count="17298" uniqueCount="7085">
  <si>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</si>
  <si>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</si>
  <si>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</si>
  <si>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</si>
  <si>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</si>
  <si>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</si>
  <si>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</si>
  <si>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</si>
  <si>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</si>
  <si>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</si>
  <si>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</si>
  <si>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</si>
  <si>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</si>
  <si>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</si>
  <si>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</si>
  <si>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</si>
  <si>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</si>
  <si>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</si>
  <si>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</si>
  <si>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</si>
  <si>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</si>
  <si>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</si>
  <si>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</si>
  <si>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</si>
  <si>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</si>
  <si>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</si>
  <si>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</si>
  <si>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</si>
  <si>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</si>
  <si>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</si>
  <si>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</si>
  <si>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</si>
  <si>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</si>
  <si>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</si>
  <si>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</si>
  <si>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</si>
  <si>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</si>
  <si>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</si>
  <si>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</si>
  <si>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</si>
  <si>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</si>
  <si>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</si>
  <si>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</si>
  <si>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</si>
  <si>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</si>
  <si>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</si>
  <si>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</si>
  <si>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</si>
  <si>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</si>
  <si>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</si>
  <si>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</si>
  <si>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</si>
  <si>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</si>
  <si>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</si>
  <si>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</si>
  <si>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</si>
  <si>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</si>
  <si>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</si>
  <si>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</si>
  <si>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</si>
  <si>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</si>
  <si>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</si>
  <si>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</si>
  <si>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</si>
  <si>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</si>
  <si>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</si>
  <si>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</si>
  <si>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</si>
  <si>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</si>
  <si>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</si>
  <si>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</si>
  <si>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</si>
  <si>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</si>
  <si>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</si>
  <si>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</si>
  <si>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</si>
  <si>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</si>
  <si>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</si>
  <si>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</si>
  <si>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</si>
  <si>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</si>
  <si>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</si>
  <si>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</si>
  <si>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</si>
  <si>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</si>
  <si>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</si>
  <si>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</si>
  <si>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</si>
  <si>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</si>
  <si>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</si>
  <si>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</si>
  <si>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</si>
  <si>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</si>
  <si>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</si>
  <si>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</si>
  <si>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</si>
  <si>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</si>
  <si>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</si>
  <si>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</si>
  <si>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</si>
  <si>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</si>
  <si>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</si>
  <si>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</si>
  <si>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</si>
  <si>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</si>
  <si>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</si>
  <si>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</si>
  <si>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</si>
  <si>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</si>
  <si>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</si>
  <si>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</si>
  <si>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</si>
  <si>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</si>
  <si>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</si>
  <si>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</si>
  <si>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</si>
  <si>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</si>
  <si>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</si>
  <si>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</si>
  <si>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</si>
  <si>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</si>
  <si>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</si>
  <si>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</si>
  <si>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</si>
  <si>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</si>
  <si>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</si>
  <si>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</si>
  <si>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</si>
  <si>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</si>
  <si>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</si>
  <si>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</si>
  <si>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</si>
  <si>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</si>
  <si>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</si>
  <si>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</si>
  <si>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</si>
  <si>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</si>
  <si>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</si>
  <si>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</si>
  <si>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</si>
  <si>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</si>
  <si>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</si>
  <si>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</si>
  <si>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</si>
  <si>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</si>
  <si>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</si>
  <si>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</si>
  <si>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</si>
  <si>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</si>
  <si>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</si>
  <si>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</si>
  <si>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</si>
  <si>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</si>
  <si>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</si>
  <si>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</si>
  <si>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</si>
  <si>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</si>
  <si>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</si>
  <si>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</si>
  <si>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</si>
  <si>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</si>
  <si>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</si>
  <si>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</si>
  <si>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</si>
  <si>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</si>
  <si>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</si>
  <si>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</si>
  <si>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</si>
  <si>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</si>
  <si>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</si>
  <si>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</si>
  <si>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</si>
  <si>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</si>
  <si>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</si>
  <si>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</si>
  <si>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</si>
  <si>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</si>
  <si>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</si>
  <si>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</si>
  <si>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</si>
  <si>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</si>
  <si>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</si>
  <si>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</si>
  <si>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</si>
  <si>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</si>
  <si>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</si>
  <si>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</si>
  <si>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</si>
  <si>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</si>
  <si>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</si>
  <si>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</si>
  <si>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</si>
  <si>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</si>
  <si>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</si>
  <si>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</si>
  <si>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</si>
  <si>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</si>
  <si>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</si>
  <si>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</si>
  <si>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</si>
  <si>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</si>
  <si>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</si>
  <si>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</si>
  <si>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</si>
  <si>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</si>
  <si>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</si>
  <si>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</si>
  <si>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</si>
  <si>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</si>
  <si>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</si>
  <si>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</si>
  <si>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</si>
  <si>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</si>
  <si>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</si>
  <si>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</si>
  <si>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</si>
  <si>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</si>
  <si>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</si>
  <si>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</si>
  <si>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</si>
  <si>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</si>
  <si>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</si>
  <si>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</si>
  <si>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</si>
  <si>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</si>
  <si>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</si>
  <si>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</si>
  <si>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</si>
  <si>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</si>
  <si>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</si>
  <si>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</si>
  <si>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</si>
  <si>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</si>
  <si>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</si>
  <si>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</si>
  <si>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</si>
  <si>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</si>
  <si>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</si>
  <si>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</si>
  <si>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</si>
  <si>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</si>
  <si>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</si>
  <si>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</si>
  <si>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</si>
  <si>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</si>
  <si>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</si>
  <si>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</si>
  <si>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</si>
  <si>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</si>
  <si>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</si>
  <si>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</si>
  <si>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</si>
  <si>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</si>
  <si>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</si>
  <si>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</si>
  <si>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</si>
  <si>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</si>
  <si>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</si>
  <si>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</si>
  <si>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</si>
  <si>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</si>
  <si>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</si>
  <si>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</si>
  <si>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</si>
  <si>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</si>
  <si>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</si>
  <si>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</si>
  <si>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</si>
  <si>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</si>
  <si>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</si>
  <si>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</si>
  <si>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</si>
  <si>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</si>
  <si>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</si>
  <si>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</si>
  <si>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</si>
  <si>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</si>
  <si>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</si>
  <si>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</si>
  <si>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</si>
  <si>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</si>
  <si>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</si>
  <si>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</si>
  <si>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</si>
  <si>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</si>
  <si>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</si>
  <si>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</si>
  <si>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</si>
  <si>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</si>
  <si>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</si>
  <si>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</si>
  <si>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</si>
  <si>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</si>
  <si>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</si>
  <si>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</si>
  <si>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</si>
  <si>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</si>
  <si>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</si>
  <si>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</si>
  <si>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</si>
  <si>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</si>
  <si>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</si>
  <si>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</si>
  <si>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</si>
  <si>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</si>
  <si>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</si>
  <si>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</si>
  <si>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</si>
  <si>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</si>
  <si>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</si>
  <si>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</si>
  <si>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</si>
  <si>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</si>
  <si>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</si>
  <si>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</si>
  <si>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</si>
  <si>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</si>
  <si>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</si>
  <si>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</si>
  <si>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</si>
  <si>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</si>
  <si>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</si>
  <si>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</si>
  <si>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</si>
  <si>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</si>
  <si>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</si>
  <si>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</si>
  <si>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</si>
  <si>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</si>
  <si>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</si>
  <si>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</si>
  <si>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</si>
  <si>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</si>
  <si>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</si>
  <si>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</si>
  <si>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</si>
  <si>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</si>
  <si>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</si>
  <si>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</si>
  <si>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</si>
  <si>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</si>
  <si>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</si>
  <si>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</si>
  <si>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</si>
  <si>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</si>
  <si>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</si>
  <si>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</si>
  <si>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</si>
  <si>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</si>
  <si>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</si>
  <si>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</si>
  <si>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</si>
  <si>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</si>
  <si>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</si>
  <si>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</si>
  <si>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</si>
  <si>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</si>
  <si>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</si>
  <si>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</si>
  <si>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</si>
  <si>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</si>
  <si>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</si>
  <si>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</si>
  <si>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</si>
  <si>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</si>
  <si>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</si>
  <si>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</si>
  <si>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</si>
  <si>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</si>
  <si>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</si>
  <si>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</si>
  <si>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</si>
  <si>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</si>
  <si>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</si>
  <si>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</si>
  <si>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</si>
  <si>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</si>
  <si>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</si>
  <si>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</si>
  <si>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</si>
  <si>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</si>
  <si>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</si>
  <si>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</si>
  <si>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</si>
  <si>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</si>
  <si>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</si>
  <si>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</si>
  <si>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</si>
  <si>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</si>
  <si>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</si>
  <si>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</si>
  <si>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</si>
  <si>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</si>
  <si>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</si>
  <si>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</si>
  <si>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</si>
  <si>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</si>
  <si>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</si>
  <si>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</si>
  <si>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</si>
  <si>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</si>
  <si>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</si>
  <si>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</si>
  <si>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</si>
  <si>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</si>
  <si>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</si>
  <si>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</si>
  <si>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</si>
  <si>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</si>
  <si>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</si>
  <si>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</si>
  <si>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</si>
  <si>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</si>
  <si>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</si>
  <si>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</si>
  <si>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</si>
  <si>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</si>
  <si>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</si>
  <si>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</si>
  <si>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</si>
  <si>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</si>
  <si>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</si>
  <si>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</si>
  <si>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</si>
  <si>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</si>
  <si>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</si>
  <si>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</si>
  <si>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</si>
  <si>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</si>
  <si>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</si>
  <si>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</si>
  <si>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</si>
  <si>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</si>
  <si>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</si>
  <si>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</si>
  <si>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</si>
  <si>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</si>
  <si>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</si>
  <si>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</si>
  <si>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</si>
  <si>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</si>
  <si>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</si>
  <si>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</si>
  <si>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</si>
  <si>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</si>
  <si>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</si>
  <si>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</si>
  <si>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</si>
  <si>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</si>
  <si>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</si>
  <si>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</si>
  <si>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</si>
  <si>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</si>
  <si>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</si>
  <si>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</si>
  <si>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</si>
  <si>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</si>
  <si>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</si>
  <si>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</si>
  <si>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</si>
  <si>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</si>
  <si>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</si>
  <si>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</si>
  <si>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</si>
  <si>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</si>
  <si>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</si>
  <si>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</si>
  <si>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</si>
  <si>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</si>
  <si>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</si>
  <si>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</si>
  <si>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</si>
  <si>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</si>
  <si>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</si>
  <si>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</si>
  <si>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</si>
  <si>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</si>
  <si>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</si>
  <si>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</si>
  <si>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</si>
  <si>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</si>
  <si>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</si>
  <si>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</si>
  <si>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</si>
  <si>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</si>
  <si>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</si>
  <si>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</si>
  <si>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</si>
  <si>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</si>
  <si>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</si>
  <si>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</si>
  <si>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</si>
  <si>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</si>
  <si>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</si>
  <si>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</si>
  <si>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</si>
  <si>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</si>
  <si>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</si>
  <si>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</si>
  <si>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</si>
  <si>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</si>
  <si>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</si>
  <si>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</si>
  <si>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</si>
  <si>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</si>
  <si>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</si>
  <si>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</si>
  <si>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</si>
  <si>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</si>
  <si>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</si>
  <si>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</si>
  <si>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</si>
  <si>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</si>
  <si>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</si>
  <si>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</si>
  <si>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</si>
  <si>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</si>
  <si>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</si>
  <si>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</si>
  <si>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</si>
  <si>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</si>
  <si>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</si>
  <si>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</si>
  <si>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</si>
  <si>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</si>
  <si>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</si>
  <si>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</si>
  <si>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</si>
  <si>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</si>
  <si>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</si>
  <si>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</si>
  <si>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</si>
  <si>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</si>
  <si>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</si>
  <si>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</si>
  <si>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</si>
  <si>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</si>
  <si>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</si>
  <si>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</si>
  <si>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</si>
  <si>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</si>
  <si>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</si>
  <si>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</si>
  <si>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</si>
  <si>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</si>
  <si>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</si>
  <si>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</si>
  <si>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</si>
  <si>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</si>
  <si>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</si>
  <si>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</si>
  <si>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</si>
  <si>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</si>
  <si>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</si>
  <si>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</si>
  <si>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</si>
  <si>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</si>
  <si>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</si>
  <si>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</si>
  <si>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</si>
  <si>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</si>
  <si>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</si>
  <si>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</si>
  <si>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</si>
  <si>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</si>
  <si>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</si>
  <si>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</si>
  <si>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</si>
  <si>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</si>
  <si>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</si>
  <si>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</si>
  <si>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</si>
  <si>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</si>
  <si>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</si>
  <si>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</si>
  <si>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</si>
  <si>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</si>
  <si>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</si>
  <si>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</si>
  <si>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</si>
  <si>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</si>
  <si>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</si>
  <si>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</si>
  <si>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</si>
  <si>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</si>
  <si>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</si>
  <si>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</si>
  <si>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</si>
  <si>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</si>
  <si>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</si>
  <si>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</si>
  <si>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</si>
  <si>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</si>
  <si>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</si>
  <si>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</si>
  <si>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</si>
  <si>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</si>
  <si>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</si>
  <si>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</si>
  <si>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</si>
  <si>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</si>
  <si>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</si>
  <si>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</si>
  <si>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</si>
  <si>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</si>
  <si>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</si>
  <si>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</si>
  <si>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</si>
  <si>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</si>
  <si>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</si>
  <si>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</si>
  <si>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</si>
  <si>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</si>
  <si>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</si>
  <si>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</si>
  <si>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</si>
  <si>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</si>
  <si>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</si>
  <si>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</si>
  <si>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</si>
  <si>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</si>
  <si>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</si>
  <si>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</si>
  <si>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</si>
  <si>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</si>
  <si>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</si>
  <si>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</si>
  <si>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</si>
  <si>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</si>
  <si>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</si>
  <si>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</si>
  <si>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</si>
  <si>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</si>
  <si>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</si>
  <si>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</si>
  <si>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</si>
  <si>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</si>
  <si>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</si>
  <si>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</si>
  <si>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</si>
  <si>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</si>
  <si>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</si>
  <si>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</si>
  <si>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</si>
  <si>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</si>
  <si>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</si>
  <si>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</si>
  <si>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</si>
  <si>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</si>
  <si>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</si>
  <si>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</si>
  <si>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</si>
  <si>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</si>
  <si>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</si>
  <si>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</si>
  <si>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</si>
  <si>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</si>
  <si>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</si>
  <si>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</si>
  <si>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</si>
  <si>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</si>
  <si>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</si>
  <si>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</si>
  <si>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</si>
  <si>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</si>
  <si>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</si>
  <si>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</si>
  <si>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</si>
  <si>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</si>
  <si>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</si>
  <si>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</si>
  <si>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</si>
  <si>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</si>
  <si>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</si>
  <si>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</si>
  <si>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</si>
  <si>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</si>
  <si>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</si>
  <si>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</si>
  <si>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</si>
  <si>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</si>
  <si>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</si>
  <si>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</si>
  <si>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</si>
  <si>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</si>
  <si>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</si>
  <si>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</si>
  <si>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</si>
  <si>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</si>
  <si>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</si>
  <si>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</si>
  <si>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</si>
  <si>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</si>
  <si>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</si>
  <si>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</si>
  <si>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</si>
  <si>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</si>
  <si>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</si>
  <si>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</si>
  <si>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</si>
  <si>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</si>
  <si>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</si>
  <si>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</si>
  <si>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</si>
  <si>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</si>
  <si>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</si>
  <si>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</si>
  <si>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</si>
  <si>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</si>
  <si>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</si>
  <si>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</si>
  <si>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</si>
  <si>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</si>
  <si>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</si>
  <si>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</si>
  <si>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</si>
  <si>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</si>
  <si>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</si>
  <si>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</si>
  <si>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</si>
  <si>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</si>
  <si>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</si>
  <si>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</si>
  <si>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</si>
  <si>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</si>
  <si>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</si>
  <si>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</si>
  <si>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</si>
  <si>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</si>
  <si>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</si>
  <si>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</si>
  <si>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</si>
  <si>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</si>
  <si>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</si>
  <si>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</si>
  <si>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</si>
  <si>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</si>
  <si>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</si>
  <si>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</si>
  <si>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</si>
  <si>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</si>
  <si>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</si>
  <si>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</si>
  <si>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</si>
  <si>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</si>
  <si>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</si>
  <si>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</si>
  <si>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</si>
  <si>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</si>
  <si>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</si>
  <si>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</si>
  <si>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</si>
  <si>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</si>
  <si>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</si>
  <si>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</si>
  <si>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</si>
  <si>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</si>
  <si>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</si>
  <si>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</si>
  <si>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</si>
  <si>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</si>
  <si>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</si>
  <si>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</si>
  <si>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</si>
  <si>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</si>
  <si>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</si>
  <si>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</si>
  <si>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</si>
  <si>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</si>
  <si>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</si>
  <si>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</si>
  <si>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</si>
  <si>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</si>
  <si>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</si>
  <si>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</si>
  <si>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</si>
  <si>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</si>
  <si>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</si>
  <si>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</si>
  <si>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</si>
  <si>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</si>
  <si>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</si>
  <si>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</si>
  <si>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</si>
  <si>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</si>
  <si>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</si>
  <si>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</si>
  <si>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</si>
  <si>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</si>
  <si>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</si>
  <si>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</si>
  <si>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</si>
  <si>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</si>
  <si>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</si>
  <si>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</si>
  <si>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</si>
  <si>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</si>
  <si>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</si>
  <si>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</si>
  <si>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</si>
  <si>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</si>
  <si>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</si>
  <si>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</si>
  <si>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</si>
  <si>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</si>
  <si>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</si>
  <si>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</si>
  <si>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</si>
  <si>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</si>
  <si>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</si>
  <si>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</si>
  <si>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</si>
  <si>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</si>
  <si>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</si>
  <si>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</si>
  <si>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</si>
  <si>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</si>
  <si>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</si>
  <si>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</si>
  <si>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</si>
  <si>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</si>
  <si>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</si>
  <si>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</si>
  <si>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</si>
  <si>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</si>
  <si>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</si>
  <si>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</si>
  <si>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</si>
  <si>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</si>
  <si>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</si>
  <si>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</si>
  <si>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</si>
  <si>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</si>
  <si>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</si>
  <si>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</si>
  <si>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</si>
  <si>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</si>
  <si>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</si>
  <si>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</si>
  <si>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</si>
  <si>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</si>
  <si>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</si>
  <si>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</si>
  <si>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</si>
  <si>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</si>
  <si>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</si>
  <si>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</si>
  <si>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</si>
  <si>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</si>
  <si>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</si>
  <si>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</si>
  <si>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</si>
  <si>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</si>
  <si>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</si>
  <si>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</si>
  <si>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</si>
  <si>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</si>
  <si>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</si>
  <si>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</si>
  <si>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</si>
  <si>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</si>
  <si>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</si>
  <si>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</si>
  <si>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</si>
  <si>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</si>
  <si>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</si>
  <si>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</si>
  <si>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</si>
  <si>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</si>
  <si>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</si>
  <si>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</si>
  <si>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</si>
  <si>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</si>
  <si>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</si>
  <si>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</si>
  <si>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</si>
  <si>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</si>
  <si>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</si>
  <si>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</si>
  <si>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</si>
  <si>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</si>
  <si>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</si>
  <si>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</si>
  <si>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</si>
  <si>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</si>
  <si>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</si>
  <si>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</si>
  <si>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</si>
  <si>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</si>
  <si>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</si>
  <si>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</si>
  <si>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</si>
  <si>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</si>
  <si>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</si>
  <si>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</si>
  <si>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</si>
  <si>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</si>
  <si>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</si>
  <si>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</si>
  <si>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</si>
  <si>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</si>
  <si>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</si>
  <si>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</si>
  <si>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</si>
  <si>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</si>
  <si>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</si>
  <si>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</si>
  <si>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</si>
  <si>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</si>
  <si>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</si>
  <si>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</si>
  <si>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</si>
  <si>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</si>
  <si>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</si>
  <si>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</si>
  <si>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</si>
  <si>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</si>
  <si>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</si>
  <si>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</si>
  <si>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</si>
  <si>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</si>
  <si>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</si>
  <si>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</si>
  <si>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</si>
  <si>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</si>
  <si>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</si>
  <si>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</si>
  <si>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</si>
  <si>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</si>
  <si>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</si>
  <si>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</si>
  <si>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</si>
  <si>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</si>
  <si>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</si>
  <si>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</si>
  <si>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</si>
  <si>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</si>
  <si>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</si>
  <si>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</si>
  <si>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</si>
  <si>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</si>
  <si>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</si>
  <si>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</si>
  <si>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</si>
  <si>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</si>
  <si>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</si>
  <si>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</si>
  <si>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</si>
  <si>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</si>
  <si>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</si>
  <si>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</si>
  <si>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</si>
  <si>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</si>
  <si>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</si>
  <si>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</si>
  <si>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</si>
  <si>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</si>
  <si>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</si>
  <si>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</si>
  <si>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</si>
  <si>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</si>
  <si>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</si>
  <si>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</si>
  <si>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</si>
  <si>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</si>
  <si>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</si>
  <si>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</si>
  <si>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</si>
  <si>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</si>
  <si>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</si>
  <si>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</si>
  <si>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</si>
  <si>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</si>
  <si>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</si>
  <si>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</si>
  <si>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</si>
  <si>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</si>
  <si>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</si>
  <si>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</si>
  <si>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</si>
  <si>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</si>
  <si>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</si>
  <si>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</si>
  <si>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</si>
  <si>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</si>
  <si>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</si>
  <si>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</si>
  <si>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</si>
  <si>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</si>
  <si>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</si>
  <si>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</si>
  <si>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</si>
  <si>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</si>
  <si>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</si>
  <si>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</si>
  <si>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</si>
  <si>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</si>
  <si>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</si>
  <si>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</si>
  <si>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</si>
  <si>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</si>
  <si>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</si>
  <si>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</si>
  <si>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</si>
  <si>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</si>
  <si>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</si>
  <si>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</si>
  <si>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</si>
  <si>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</si>
  <si>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</si>
  <si>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</si>
  <si>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</si>
  <si>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</si>
  <si>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</si>
  <si>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</si>
  <si>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</si>
  <si>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</si>
  <si>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</si>
  <si>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</si>
  <si>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</si>
  <si>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</si>
  <si>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</si>
  <si>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</si>
  <si>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</si>
  <si>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</si>
  <si>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</si>
  <si>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</si>
  <si>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</si>
  <si>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</si>
  <si>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</si>
  <si>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</si>
  <si>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</si>
  <si>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</si>
  <si>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</si>
  <si>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</si>
  <si>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</si>
  <si>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</si>
  <si>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</si>
  <si>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</si>
  <si>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</si>
  <si>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</si>
  <si>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</si>
  <si>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</si>
  <si>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</si>
  <si>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</si>
  <si>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</si>
  <si>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</si>
  <si>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</si>
  <si>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</si>
  <si>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</si>
  <si>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</si>
  <si>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</si>
  <si>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</si>
  <si>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</si>
  <si>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</si>
  <si>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</si>
  <si>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</si>
  <si>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</si>
  <si>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</si>
  <si>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</si>
  <si>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</si>
  <si>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</si>
  <si>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</si>
  <si>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</si>
  <si>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</si>
  <si>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</si>
  <si>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</si>
  <si>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</si>
  <si>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</si>
  <si>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</si>
  <si>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</si>
  <si>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</si>
  <si>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</si>
  <si>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</si>
  <si>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</si>
  <si>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</si>
  <si>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</si>
  <si>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</si>
  <si>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</si>
  <si>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</si>
  <si>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</si>
  <si>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</si>
  <si>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</si>
  <si>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</si>
  <si>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</si>
  <si>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</si>
  <si>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</si>
  <si>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</si>
  <si>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</si>
  <si>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</si>
  <si>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</si>
  <si>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</si>
  <si>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</si>
  <si>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</si>
  <si>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</si>
  <si>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</si>
  <si>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</si>
  <si>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</si>
  <si>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</si>
  <si>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</si>
  <si>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</si>
  <si>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</si>
  <si>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</si>
  <si>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</si>
  <si>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</si>
  <si>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</si>
  <si>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</si>
  <si>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</si>
  <si>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</si>
  <si>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</si>
  <si>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</si>
  <si>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</si>
  <si>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</si>
  <si>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</si>
  <si>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</si>
  <si>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</si>
  <si>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</si>
  <si>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</si>
  <si>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</si>
  <si>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</si>
  <si>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</si>
  <si>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</si>
  <si>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</si>
  <si>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</si>
  <si>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</si>
  <si>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</si>
  <si>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</si>
  <si>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</si>
  <si>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</si>
  <si>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</si>
  <si>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</si>
  <si>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</si>
  <si>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</si>
  <si>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</si>
  <si>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</si>
  <si>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</si>
  <si>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</si>
  <si>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</si>
  <si>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</si>
  <si>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</si>
  <si>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</si>
  <si>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</si>
  <si>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</si>
  <si>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</si>
  <si>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</si>
  <si>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</si>
  <si>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</si>
  <si>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</si>
  <si>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</si>
  <si>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</si>
  <si>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</si>
  <si>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</si>
  <si>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</si>
  <si>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</si>
  <si>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</si>
  <si>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</si>
  <si>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</si>
  <si>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</si>
  <si>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</si>
  <si>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</si>
  <si>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</si>
  <si>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</si>
  <si>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</si>
  <si>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</si>
  <si>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</si>
  <si>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</si>
  <si>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</si>
  <si>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</si>
  <si>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</si>
  <si>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</si>
  <si>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</si>
  <si>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</si>
  <si>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</si>
  <si>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</si>
  <si>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</si>
  <si>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</si>
  <si>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</si>
  <si>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</si>
  <si>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</si>
  <si>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</si>
  <si>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</si>
  <si>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</si>
  <si>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</si>
  <si>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</si>
  <si>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</si>
  <si>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</si>
  <si>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</si>
  <si>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</si>
  <si>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</si>
  <si>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</si>
  <si>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</si>
  <si>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</si>
  <si>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</si>
  <si>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</si>
  <si>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</si>
  <si>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</si>
  <si>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</si>
  <si>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</si>
  <si>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</si>
  <si>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</si>
  <si>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</si>
  <si>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</si>
  <si>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</si>
  <si>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</si>
  <si>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</si>
  <si>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</si>
  <si>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</si>
  <si>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</si>
  <si>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</si>
  <si>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</si>
  <si>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</si>
  <si>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</si>
  <si>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</si>
  <si>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</si>
  <si>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</si>
  <si>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</si>
  <si>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</si>
  <si>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</si>
  <si>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</si>
  <si>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</si>
  <si>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</si>
  <si>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</si>
  <si>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</si>
  <si>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</si>
  <si>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</si>
  <si>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</si>
  <si>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</si>
  <si>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</si>
  <si>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</si>
  <si>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</si>
  <si>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</si>
  <si>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</si>
  <si>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</si>
  <si>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</si>
  <si>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</si>
  <si>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</si>
  <si>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</si>
  <si>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</si>
  <si>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</si>
  <si>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</si>
  <si>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</si>
  <si>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</si>
  <si>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</si>
  <si>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</si>
  <si>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</si>
  <si>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</si>
  <si>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</si>
  <si>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</si>
  <si>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</si>
  <si>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</si>
  <si>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</si>
  <si>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</si>
  <si>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</si>
  <si>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</si>
  <si>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</si>
  <si>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</si>
  <si>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</si>
  <si>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</si>
  <si>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</si>
  <si>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</si>
  <si>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</si>
  <si>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</si>
  <si>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</si>
  <si>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</si>
  <si>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</si>
  <si>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</si>
  <si>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</si>
  <si>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</si>
  <si>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</si>
  <si>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</si>
  <si>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</si>
  <si>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</si>
  <si>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</si>
  <si>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</si>
  <si>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</si>
  <si>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</si>
  <si>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</si>
  <si>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</si>
  <si>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</si>
  <si>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</si>
  <si>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</si>
  <si>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</si>
  <si>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</si>
  <si>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</si>
  <si>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</si>
  <si>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</si>
  <si>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</si>
  <si>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</si>
  <si>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</si>
  <si>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</si>
  <si>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</si>
  <si>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</si>
  <si>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</si>
  <si>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</si>
  <si>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</si>
  <si>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</si>
  <si>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</si>
  <si>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</si>
  <si>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</si>
  <si>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</si>
  <si>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</si>
  <si>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</si>
  <si>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</si>
  <si>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</si>
  <si>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</si>
  <si>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</si>
  <si>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</si>
  <si>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</si>
  <si>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</si>
  <si>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</si>
  <si>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</si>
  <si>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</si>
  <si>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</si>
  <si>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</si>
  <si>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</si>
  <si>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</si>
  <si>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</si>
  <si>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</si>
  <si>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</si>
  <si>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</si>
  <si>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</si>
  <si>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</si>
  <si>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</si>
  <si>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</si>
  <si>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</si>
  <si>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</si>
  <si>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</si>
  <si>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</si>
  <si>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</si>
  <si>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</si>
  <si>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</si>
  <si>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</si>
  <si>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</si>
  <si>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</si>
  <si>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</si>
  <si>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</si>
  <si>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</si>
  <si>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</si>
  <si>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</si>
  <si>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</si>
  <si>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</si>
  <si>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</si>
  <si>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</si>
  <si>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</si>
  <si>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</si>
  <si>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</si>
  <si>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</si>
  <si>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</si>
  <si>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</si>
  <si>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</si>
  <si>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</si>
  <si>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</si>
  <si>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</si>
  <si>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</si>
  <si>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</si>
  <si>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</si>
  <si>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</si>
  <si>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</si>
  <si>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</si>
  <si>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</si>
  <si>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</si>
  <si>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</si>
  <si>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</si>
  <si>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</si>
  <si>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</si>
  <si>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</si>
  <si>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</si>
  <si>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</si>
  <si>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</si>
  <si>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</si>
  <si>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</si>
  <si>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</si>
  <si>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</si>
  <si>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</si>
  <si>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</si>
  <si>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</si>
  <si>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</si>
  <si>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</si>
  <si>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</si>
  <si>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</si>
  <si>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</si>
  <si>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</si>
  <si>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</si>
  <si>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</si>
  <si>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</si>
  <si>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</si>
  <si>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</si>
  <si>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</si>
  <si>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</si>
  <si>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</si>
  <si>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</si>
  <si>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</si>
  <si>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</si>
  <si>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</si>
  <si>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</si>
  <si>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</si>
  <si>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</si>
  <si>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</si>
  <si>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</si>
  <si>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</si>
  <si>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</si>
  <si>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</si>
  <si>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</si>
  <si>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</si>
  <si>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</si>
  <si>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</si>
  <si>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</si>
  <si>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</si>
  <si>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</si>
  <si>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</si>
  <si>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</si>
  <si>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</si>
  <si>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</si>
  <si>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</si>
  <si>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</si>
  <si>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</si>
  <si>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</si>
  <si>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</si>
  <si>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</si>
  <si>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</si>
  <si>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</si>
  <si>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</si>
  <si>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</si>
  <si>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</si>
  <si>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</si>
  <si>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</si>
  <si>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</si>
  <si>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</si>
  <si>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</si>
  <si>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</si>
  <si>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</si>
  <si>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</si>
  <si>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</si>
  <si>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</si>
  <si>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</si>
  <si>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</si>
  <si>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</si>
  <si>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</si>
  <si>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</si>
  <si>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</si>
  <si>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</si>
  <si>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</si>
  <si>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</si>
  <si>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</si>
  <si>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</si>
  <si>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</si>
  <si>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</si>
  <si>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</si>
  <si>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</si>
  <si>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</si>
  <si>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</si>
  <si>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</si>
  <si>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</si>
  <si>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</si>
  <si>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</si>
  <si>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</si>
  <si>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</si>
  <si>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</si>
  <si>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</si>
  <si>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</si>
  <si>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</si>
  <si>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</si>
  <si>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</si>
  <si>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</si>
  <si>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</si>
  <si>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</si>
  <si>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</si>
  <si>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</si>
  <si>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</si>
  <si>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</si>
  <si>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</si>
  <si>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</si>
  <si>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</si>
  <si>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</si>
  <si>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</si>
  <si>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</si>
  <si>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</si>
  <si>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</si>
  <si>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</si>
  <si>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</si>
  <si>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</si>
  <si>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</si>
  <si>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</si>
  <si>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</si>
  <si>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</si>
  <si>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</si>
  <si>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</si>
  <si>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</si>
  <si>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</si>
  <si>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</si>
  <si>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</si>
  <si>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</si>
  <si>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</si>
  <si>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</si>
  <si>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</si>
  <si>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</si>
  <si>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</si>
  <si>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</si>
  <si>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</si>
  <si>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</si>
  <si>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</si>
  <si>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</si>
  <si>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</si>
  <si>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</si>
  <si>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</si>
  <si>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</si>
  <si>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</si>
  <si>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</si>
  <si>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</si>
  <si>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</si>
  <si>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</si>
  <si>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</si>
  <si>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</si>
  <si>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</si>
  <si>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</si>
  <si>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</si>
  <si>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</si>
  <si>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</si>
  <si>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</si>
  <si>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</si>
  <si>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</si>
  <si>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</si>
  <si>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</si>
  <si>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</si>
  <si>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</si>
  <si>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</si>
  <si>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</si>
  <si>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</si>
  <si>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</si>
  <si>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</si>
  <si>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</si>
  <si>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</si>
  <si>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</si>
  <si>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</si>
  <si>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</si>
  <si>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</si>
  <si>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</si>
  <si>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</si>
  <si>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</si>
  <si>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</si>
  <si>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</si>
  <si>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</si>
  <si>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</si>
  <si>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</si>
  <si>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</si>
  <si>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</si>
  <si>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</si>
  <si>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</si>
  <si>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</si>
  <si>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</si>
  <si>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</si>
  <si>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</si>
  <si>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</si>
  <si>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</si>
  <si>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</si>
  <si>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</si>
  <si>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</si>
  <si>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</si>
  <si>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</si>
  <si>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</si>
  <si>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</si>
  <si>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</si>
  <si>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</si>
  <si>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</si>
  <si>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</si>
  <si>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</si>
  <si>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</si>
  <si>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</si>
  <si>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</si>
  <si>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</si>
  <si>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</si>
  <si>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</si>
  <si>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</si>
  <si>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</si>
  <si>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</si>
  <si>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</si>
  <si>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</si>
  <si>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</si>
  <si>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</si>
  <si>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</si>
  <si>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</si>
  <si>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</si>
  <si>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</si>
  <si>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</si>
  <si>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</si>
  <si>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</si>
  <si>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</si>
  <si>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</si>
  <si>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</si>
  <si>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</si>
  <si>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</si>
  <si>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</si>
  <si>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</si>
  <si>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</si>
  <si>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</si>
  <si>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</si>
  <si>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</si>
  <si>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</si>
  <si>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</si>
  <si>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</si>
  <si>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</si>
  <si>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</si>
  <si>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</si>
  <si>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</si>
  <si>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</si>
  <si>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</si>
  <si>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</si>
  <si>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</si>
  <si>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</si>
  <si>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</si>
  <si>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</si>
  <si>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</si>
  <si>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</si>
  <si>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</si>
  <si>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</si>
  <si>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</si>
  <si>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</si>
  <si>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</si>
  <si>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</si>
  <si>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</si>
  <si>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</si>
  <si>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</si>
  <si>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</si>
  <si>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</si>
  <si>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</si>
  <si>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</si>
  <si>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</si>
  <si>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</si>
  <si>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</si>
  <si>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</si>
  <si>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</si>
  <si>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</si>
  <si>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</si>
  <si>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</si>
  <si>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</si>
  <si>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</si>
  <si>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</si>
  <si>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</si>
  <si>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</si>
  <si>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</si>
  <si>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</si>
  <si>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</si>
  <si>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</si>
  <si>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</si>
  <si>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</si>
  <si>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</si>
  <si>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</si>
  <si>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</si>
  <si>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</si>
  <si>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</si>
  <si>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</si>
  <si>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</si>
  <si>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</si>
  <si>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</si>
  <si>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</si>
  <si>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</si>
  <si>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</si>
  <si>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</si>
  <si>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</si>
  <si>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</si>
  <si>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</si>
  <si>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</si>
  <si>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</si>
  <si>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</si>
  <si>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</si>
  <si>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</si>
  <si>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</si>
  <si>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</si>
  <si>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</si>
  <si>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</si>
  <si>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</si>
  <si>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</si>
  <si>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</si>
  <si>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</si>
  <si>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</si>
  <si>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</si>
  <si>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</si>
  <si>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</si>
  <si>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</si>
  <si>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</si>
  <si>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</si>
  <si>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</si>
  <si>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</si>
  <si>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</si>
  <si>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</si>
  <si>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</si>
  <si>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</si>
  <si>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</si>
  <si>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</si>
  <si>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</si>
  <si>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</si>
  <si>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</si>
  <si>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</si>
  <si>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</si>
  <si>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</si>
  <si>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</si>
  <si>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</si>
  <si>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</si>
  <si>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</si>
  <si>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</si>
  <si>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</si>
  <si>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</si>
  <si>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</si>
  <si>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</si>
  <si>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</si>
  <si>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</si>
  <si>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</si>
  <si>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</si>
  <si>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</si>
  <si>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</si>
  <si>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</si>
  <si>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</si>
  <si>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</si>
  <si>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</si>
  <si>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</si>
  <si>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</si>
  <si>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</si>
  <si>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</si>
  <si>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</si>
  <si>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</si>
  <si>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</si>
  <si>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</si>
  <si>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</si>
  <si>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</si>
  <si>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</si>
  <si>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</si>
  <si>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</si>
  <si>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</si>
  <si>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</si>
  <si>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</si>
  <si>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</si>
  <si>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</si>
  <si>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</si>
  <si>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</si>
  <si>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</si>
  <si>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</si>
  <si>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</si>
  <si>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</si>
  <si>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</si>
  <si>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</si>
  <si>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</si>
  <si>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</si>
  <si>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</si>
  <si>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</si>
  <si>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</si>
  <si>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</si>
  <si>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</si>
  <si>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</si>
  <si>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</si>
  <si>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</si>
  <si>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</si>
  <si>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</si>
  <si>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</si>
  <si>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</si>
  <si>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</si>
  <si>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</si>
  <si>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</si>
  <si>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</si>
  <si>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</si>
  <si>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</si>
  <si>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</si>
  <si>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</si>
  <si>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</si>
  <si>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</si>
  <si>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</si>
  <si>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</si>
  <si>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</si>
  <si>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</si>
  <si>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</si>
  <si>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</si>
  <si>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</si>
  <si>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</si>
  <si>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</si>
  <si>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</si>
  <si>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</si>
  <si>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</si>
  <si>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</si>
  <si>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</si>
  <si>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</si>
  <si>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</si>
  <si>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</si>
  <si>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</si>
  <si>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</si>
  <si>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</si>
  <si>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</si>
  <si>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</si>
  <si>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</si>
  <si>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</si>
  <si>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</si>
  <si>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</si>
  <si>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</si>
  <si>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</si>
  <si>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</si>
  <si>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</si>
  <si>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</si>
  <si>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</si>
  <si>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</si>
  <si>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</si>
  <si>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</si>
  <si>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</si>
  <si>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</si>
  <si>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</si>
  <si>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</si>
  <si>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</si>
  <si>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</si>
  <si>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</si>
  <si>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</si>
  <si>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</si>
  <si>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</si>
  <si>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</si>
  <si>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</si>
  <si>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</si>
  <si>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</si>
  <si>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</si>
  <si>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</si>
  <si>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</si>
  <si>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</si>
  <si>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</si>
  <si>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</si>
  <si>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</si>
  <si>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</si>
  <si>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</si>
  <si>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</si>
  <si>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</si>
  <si>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</si>
  <si>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</si>
  <si>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</si>
  <si>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</si>
  <si>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</si>
  <si>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</si>
  <si>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</si>
  <si>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</si>
  <si>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</si>
  <si>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</si>
  <si>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</si>
  <si>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</si>
  <si>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</si>
  <si>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</si>
  <si>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</si>
  <si>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</si>
  <si>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</si>
  <si>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</si>
  <si>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</si>
  <si>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</si>
  <si>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</si>
  <si>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</si>
  <si>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</si>
  <si>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</si>
  <si>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</si>
  <si>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</si>
  <si>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</si>
  <si>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</si>
  <si>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</si>
  <si>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</si>
  <si>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</si>
  <si>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</si>
  <si>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</si>
  <si>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</si>
  <si>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</si>
  <si>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</si>
  <si>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</si>
  <si>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</si>
  <si>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</si>
  <si>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</si>
  <si>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</si>
  <si>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</si>
  <si>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</si>
  <si>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</si>
  <si>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</si>
  <si>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</si>
  <si>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</si>
  <si>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</si>
  <si>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</si>
  <si>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</si>
  <si>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</si>
  <si>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</si>
  <si>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</si>
  <si>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</si>
  <si>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</si>
  <si>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</si>
  <si>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</si>
  <si>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</si>
  <si>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</si>
  <si>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</si>
  <si>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</si>
  <si>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</si>
  <si>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</si>
  <si>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</si>
  <si>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</si>
  <si>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</si>
  <si>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</si>
  <si>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</si>
  <si>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</si>
  <si>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</si>
  <si>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</si>
  <si>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</si>
  <si>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</si>
  <si>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</si>
  <si>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</si>
  <si>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</si>
  <si>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</si>
  <si>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</si>
  <si>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</si>
  <si>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</si>
  <si>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</si>
  <si>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</si>
  <si>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</si>
  <si>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</si>
  <si>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</si>
  <si>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</si>
  <si>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</si>
  <si>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</si>
  <si>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</si>
  <si>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</si>
  <si>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</si>
  <si>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</si>
  <si>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</si>
  <si>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</si>
  <si>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</si>
  <si>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</si>
  <si>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</si>
  <si>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</si>
  <si>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</si>
  <si>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</si>
  <si>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</si>
  <si>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</si>
  <si>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</si>
  <si>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</si>
  <si>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</si>
  <si>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</si>
  <si>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</si>
  <si>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</si>
  <si>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</si>
  <si>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</si>
  <si>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</si>
  <si>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</si>
  <si>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</si>
  <si>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</si>
  <si>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</si>
  <si>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</si>
  <si>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</si>
  <si>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</si>
  <si>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</si>
  <si>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</si>
  <si>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</si>
  <si>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</si>
  <si>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</si>
  <si>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</si>
  <si>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</si>
  <si>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</si>
  <si>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</si>
  <si>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</si>
  <si>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</si>
  <si>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</si>
  <si>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</si>
  <si>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</si>
  <si>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</si>
  <si>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</si>
  <si>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</si>
  <si>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</si>
  <si>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</si>
  <si>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</si>
  <si>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</si>
  <si>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</si>
  <si>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</si>
  <si>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</si>
  <si>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</si>
  <si>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</si>
  <si>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</si>
  <si>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</si>
  <si>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</si>
  <si>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</si>
  <si>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</si>
  <si>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</si>
  <si>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</si>
  <si>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</si>
  <si>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</si>
  <si>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</si>
  <si>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</si>
  <si>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</si>
  <si>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</si>
  <si>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</si>
  <si>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</si>
  <si>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</si>
  <si>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</si>
  <si>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</si>
  <si>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</si>
  <si>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</si>
  <si>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</si>
  <si>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</si>
  <si>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</si>
  <si>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</si>
  <si>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</si>
  <si>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</si>
  <si>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</si>
  <si>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</si>
  <si>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</si>
  <si>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</si>
  <si>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</si>
  <si>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</si>
  <si>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</si>
  <si>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</si>
  <si>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</si>
  <si>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</si>
  <si>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</si>
  <si>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</si>
  <si>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</si>
  <si>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</si>
  <si>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</si>
  <si>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</si>
  <si>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</si>
  <si>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</si>
  <si>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</si>
  <si>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</si>
  <si>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</si>
  <si>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</si>
  <si>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</si>
  <si>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</si>
  <si>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</si>
  <si>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</si>
  <si>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</si>
  <si>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</si>
  <si>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</si>
  <si>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</si>
  <si>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</si>
  <si>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</si>
  <si>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</si>
  <si>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</si>
  <si>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</si>
  <si>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</si>
  <si>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</si>
  <si>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</si>
  <si>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</si>
  <si>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</si>
  <si>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</si>
  <si>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</si>
  <si>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</si>
  <si>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</si>
  <si>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</si>
  <si>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</si>
  <si>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</si>
  <si>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</si>
  <si>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</si>
  <si>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</si>
  <si>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</si>
  <si>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</si>
  <si>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</si>
  <si>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</si>
  <si>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</si>
  <si>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</si>
  <si>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</si>
  <si>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</si>
  <si>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</si>
  <si>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</si>
  <si>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</si>
  <si>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</si>
  <si>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</si>
  <si>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</si>
  <si>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</si>
  <si>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</si>
  <si>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</si>
  <si>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</si>
  <si>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</si>
  <si>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</si>
  <si>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</si>
  <si>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</si>
  <si>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</si>
  <si>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</si>
  <si>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</si>
  <si>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</si>
  <si>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</si>
  <si>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</si>
  <si>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</si>
  <si>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</si>
  <si>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</si>
  <si>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</si>
  <si>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</si>
  <si>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</si>
  <si>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</si>
  <si>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</si>
  <si>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</si>
  <si>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</si>
  <si>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</si>
  <si>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</si>
  <si>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</si>
  <si>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</si>
  <si>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</si>
  <si>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</si>
  <si>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</si>
  <si>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</si>
  <si>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</si>
  <si>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</si>
  <si>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</si>
  <si>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</si>
  <si>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</si>
  <si>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</si>
  <si>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</si>
  <si>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</si>
  <si>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</si>
  <si>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</si>
  <si>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</si>
  <si>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</si>
  <si>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</si>
  <si>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</si>
  <si>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</si>
  <si>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</si>
  <si>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</si>
  <si>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</si>
  <si>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</si>
  <si>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</si>
  <si>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</si>
  <si>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</si>
  <si>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</si>
  <si>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</si>
  <si>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</si>
  <si>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</si>
  <si>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</si>
  <si>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</si>
  <si>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</si>
  <si>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</si>
  <si>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</si>
  <si>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</si>
  <si>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</si>
  <si>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</si>
  <si>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</si>
  <si>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</si>
  <si>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</si>
  <si>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</si>
  <si>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</si>
  <si>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</si>
  <si>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</si>
  <si>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</si>
  <si>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</si>
  <si>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</si>
  <si>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</si>
  <si>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</si>
  <si>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</si>
  <si>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</si>
  <si>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</si>
  <si>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</si>
  <si>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</si>
  <si>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</si>
  <si>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</si>
  <si>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</si>
  <si>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</si>
  <si>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</si>
  <si>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</si>
  <si>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</si>
  <si>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</si>
  <si>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</si>
  <si>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</si>
  <si>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</si>
  <si>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</si>
  <si>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</si>
  <si>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</si>
  <si>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</si>
  <si>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</si>
  <si>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</si>
  <si>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</si>
  <si>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</si>
  <si>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</si>
  <si>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</si>
  <si>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</si>
  <si>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</si>
  <si>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</si>
  <si>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</si>
  <si>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</si>
  <si>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</si>
  <si>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</si>
  <si>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</si>
  <si>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</si>
  <si>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</si>
  <si>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</si>
  <si>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</si>
  <si>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</si>
  <si>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</si>
  <si>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</si>
  <si>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</si>
  <si>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</si>
  <si>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</si>
  <si>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</si>
  <si>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</si>
  <si>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</si>
  <si>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</si>
  <si>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</si>
  <si>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</si>
  <si>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</si>
  <si>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</si>
  <si>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</si>
  <si>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</si>
  <si>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</si>
  <si>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</si>
  <si>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</si>
  <si>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</si>
  <si>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</si>
  <si>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</si>
  <si>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</si>
  <si>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</si>
  <si>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</si>
  <si>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</si>
  <si>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</si>
  <si>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</si>
  <si>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</si>
  <si>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</si>
  <si>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</si>
  <si>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</si>
  <si>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</si>
  <si>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</si>
  <si>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</si>
  <si>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</si>
  <si>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</si>
  <si>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</si>
  <si>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</si>
  <si>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</si>
  <si>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</si>
  <si>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</si>
  <si>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</si>
  <si>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</si>
  <si>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</si>
  <si>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</si>
  <si>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</si>
  <si>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</si>
  <si>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</si>
  <si>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</si>
  <si>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</si>
  <si>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</si>
  <si>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</si>
  <si>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</si>
  <si>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</si>
  <si>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</si>
  <si>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</si>
  <si>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</si>
  <si>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</si>
  <si>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</si>
  <si>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</si>
  <si>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</si>
  <si>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</si>
  <si>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</si>
  <si>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</si>
  <si>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</si>
  <si>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</si>
  <si>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</si>
  <si>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</si>
  <si>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</si>
  <si>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</si>
  <si>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</si>
  <si>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</si>
  <si>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</si>
  <si>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</si>
  <si>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</si>
  <si>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</si>
  <si>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</si>
  <si>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</si>
  <si>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</si>
  <si>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</si>
  <si>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</si>
  <si>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</si>
  <si>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</si>
  <si>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</si>
  <si>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</si>
  <si>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</si>
  <si>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</si>
  <si>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</si>
  <si>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</si>
  <si>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</si>
  <si>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</si>
  <si>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</si>
  <si>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</si>
  <si>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</si>
  <si>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</si>
  <si>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</si>
  <si>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</si>
  <si>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</si>
  <si>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</si>
  <si>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</si>
  <si>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</si>
  <si>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</si>
  <si>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</si>
  <si>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</si>
  <si>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</si>
  <si>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</si>
  <si>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</si>
  <si>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</si>
  <si>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</si>
  <si>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</si>
  <si>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</si>
  <si>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</si>
  <si>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</si>
  <si>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</si>
  <si>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</si>
  <si>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</si>
  <si>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</si>
  <si>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</si>
  <si>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</si>
  <si>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</si>
  <si>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</si>
  <si>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</si>
  <si>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</si>
  <si>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</si>
  <si>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</si>
  <si>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</si>
  <si>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</si>
  <si>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</si>
  <si>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</si>
  <si>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</si>
  <si>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</si>
  <si>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</si>
  <si>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</si>
  <si>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</si>
  <si>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</si>
  <si>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</si>
  <si>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</si>
  <si>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</si>
  <si>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</si>
  <si>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</si>
  <si>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</si>
  <si>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</si>
  <si>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</si>
  <si>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</si>
  <si>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</si>
  <si>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</si>
  <si>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</si>
  <si>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</si>
  <si>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</si>
  <si>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</si>
  <si>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</si>
  <si>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</si>
  <si>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</si>
  <si>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</si>
  <si>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</si>
  <si>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</si>
  <si>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</si>
  <si>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</si>
  <si>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</si>
  <si>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</si>
  <si>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</si>
  <si>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</si>
  <si>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</si>
  <si>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</si>
  <si>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</si>
  <si>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</si>
  <si>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</si>
  <si>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</si>
  <si>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</si>
  <si>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</si>
  <si>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</si>
  <si>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</si>
  <si>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</si>
  <si>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</si>
  <si>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</si>
  <si>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</si>
  <si>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</si>
  <si>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</si>
  <si>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</si>
  <si>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</si>
  <si>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</si>
  <si>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</si>
  <si>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</si>
  <si>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</si>
  <si>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</si>
  <si>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</si>
  <si>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</si>
  <si>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</si>
  <si>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</si>
  <si>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</si>
  <si>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</si>
  <si>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</si>
  <si>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</si>
  <si>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</si>
  <si>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</si>
  <si>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</si>
  <si>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</si>
  <si>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</si>
  <si>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</si>
  <si>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</si>
  <si>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</si>
  <si>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</si>
  <si>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</si>
  <si>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</si>
  <si>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</si>
  <si>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</si>
  <si>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</si>
  <si>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</si>
  <si>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</si>
  <si>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</si>
  <si>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</si>
  <si>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</si>
  <si>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</si>
  <si>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</si>
  <si>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</si>
  <si>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</si>
  <si>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</si>
  <si>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</si>
  <si>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</si>
  <si>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</si>
  <si>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</si>
  <si>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</si>
  <si>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</si>
  <si>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</si>
  <si>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</si>
  <si>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</si>
  <si>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</si>
  <si>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</si>
  <si>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</si>
  <si>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</si>
  <si>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</si>
  <si>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</si>
  <si>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</si>
  <si>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</si>
  <si>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</si>
  <si>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</si>
  <si>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</si>
  <si>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</si>
  <si>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</si>
  <si>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</si>
  <si>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</si>
  <si>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</si>
  <si>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</si>
  <si>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</si>
  <si>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</si>
  <si>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</si>
  <si>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</si>
  <si>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</si>
  <si>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</si>
  <si>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</si>
  <si>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</si>
  <si>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</si>
  <si>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</si>
  <si>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</si>
  <si>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</si>
  <si>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</si>
  <si>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</si>
  <si>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</si>
  <si>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</si>
  <si>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</si>
  <si>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</si>
  <si>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</si>
  <si>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</si>
  <si>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</si>
  <si>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</si>
  <si>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</si>
  <si>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</si>
  <si>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</si>
  <si>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</si>
  <si>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</si>
  <si>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</si>
  <si>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</si>
  <si>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</si>
  <si>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</si>
  <si>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</si>
  <si>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</si>
  <si>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</si>
  <si>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</si>
  <si>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</si>
  <si>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</si>
  <si>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</si>
  <si>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</si>
  <si>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</si>
  <si>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</si>
  <si>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</si>
  <si>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</si>
  <si>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</si>
  <si>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</si>
  <si>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</si>
  <si>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</si>
  <si>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</si>
  <si>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</si>
  <si>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</si>
  <si>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</si>
  <si>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</si>
  <si>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</si>
  <si>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</si>
  <si>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</si>
  <si>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</si>
  <si>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</si>
  <si>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</si>
  <si>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</si>
  <si>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</si>
  <si>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</si>
  <si>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</si>
  <si>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</si>
  <si>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</si>
  <si>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</si>
  <si>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</si>
  <si>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</si>
  <si>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</si>
  <si>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</si>
  <si>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</si>
  <si>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</si>
  <si>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</si>
  <si>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</si>
  <si>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</si>
  <si>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</si>
  <si>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</si>
  <si>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</si>
  <si>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</si>
  <si>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</si>
  <si>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</si>
  <si>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</si>
  <si>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</si>
  <si>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</si>
  <si>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</si>
  <si>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</si>
  <si>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</si>
  <si>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</si>
  <si>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</si>
  <si>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</si>
  <si>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</si>
  <si>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</si>
  <si>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</si>
  <si>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</si>
  <si>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</si>
  <si>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</si>
  <si>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</si>
  <si>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</si>
  <si>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</si>
  <si>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</si>
  <si>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</si>
  <si>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</si>
  <si>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</si>
  <si>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</si>
  <si>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</si>
  <si>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</si>
  <si>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</si>
  <si>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</si>
  <si>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</si>
  <si>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</si>
  <si>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</si>
  <si>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</si>
  <si>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</si>
  <si>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</si>
  <si>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</si>
  <si>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</si>
  <si>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</si>
  <si>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</si>
  <si>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</si>
  <si>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</si>
  <si>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</si>
  <si>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</si>
  <si>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</si>
  <si>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</si>
  <si>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</si>
  <si>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</si>
  <si>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</si>
  <si>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</si>
  <si>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</si>
  <si>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</si>
  <si>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</si>
  <si>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</si>
  <si>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</si>
  <si>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</si>
  <si>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</si>
  <si>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</si>
  <si>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</si>
  <si>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</si>
  <si>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</si>
  <si>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</si>
  <si>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</si>
  <si>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</si>
  <si>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</si>
  <si>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</si>
  <si>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</si>
  <si>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</si>
  <si>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</si>
  <si>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</si>
  <si>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</si>
  <si>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</si>
  <si>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</si>
  <si>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</si>
  <si>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</si>
  <si>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</si>
  <si>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</si>
  <si>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</si>
  <si>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</si>
  <si>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</si>
  <si>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</si>
  <si>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</si>
  <si>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</si>
  <si>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</si>
  <si>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</si>
  <si>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</si>
  <si>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</si>
  <si>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</si>
  <si>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</si>
  <si>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</si>
  <si>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</si>
  <si>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</si>
  <si>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</si>
  <si>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</si>
  <si>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</si>
  <si>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</si>
  <si>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</si>
  <si>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</si>
  <si>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</si>
  <si>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</si>
  <si>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</si>
  <si>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</si>
  <si>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</si>
  <si>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</si>
  <si>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</si>
  <si>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</si>
  <si>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</si>
  <si>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</si>
  <si>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</si>
  <si>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</si>
  <si>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</si>
  <si>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</si>
  <si>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</si>
  <si>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</si>
  <si>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</si>
  <si>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</si>
  <si>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</si>
  <si>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</si>
  <si>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</si>
  <si>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</si>
  <si>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</si>
  <si>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</si>
  <si>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</si>
  <si>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</si>
  <si>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</si>
  <si>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</si>
  <si>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</si>
  <si>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</si>
  <si>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</si>
  <si>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</si>
  <si>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</si>
  <si>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</si>
  <si>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</si>
  <si>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</si>
  <si>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</si>
  <si>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</si>
  <si>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</si>
  <si>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</si>
  <si>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</si>
  <si>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</si>
  <si>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</si>
  <si>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</si>
  <si>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</si>
  <si>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</si>
  <si>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</si>
  <si>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</si>
  <si>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</si>
  <si>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</si>
  <si>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</si>
  <si>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</si>
  <si>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</si>
  <si>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</si>
  <si>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</si>
  <si>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</si>
  <si>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</si>
  <si>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</si>
  <si>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</si>
  <si>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</si>
  <si>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</si>
  <si>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</si>
  <si>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</si>
  <si>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</si>
  <si>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</si>
  <si>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</si>
  <si>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</si>
  <si>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</si>
  <si>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</si>
  <si>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</si>
  <si>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</si>
  <si>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</si>
  <si>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</si>
  <si>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</si>
  <si>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</si>
  <si>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</si>
  <si>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</si>
  <si>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</si>
  <si>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</si>
  <si>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</si>
  <si>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</si>
  <si>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</si>
  <si>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</si>
  <si>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</si>
  <si>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</si>
  <si>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</si>
  <si>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</si>
  <si>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</si>
  <si>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</si>
  <si>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</si>
  <si>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</si>
  <si>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</si>
  <si>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</si>
  <si>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</si>
  <si>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</si>
  <si>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</si>
  <si>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</si>
  <si>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</si>
  <si>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</si>
  <si>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</si>
  <si>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</si>
  <si>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</si>
  <si>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</si>
  <si>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</si>
  <si>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</si>
  <si>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</si>
  <si>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</si>
  <si>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</si>
  <si>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</si>
  <si>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</si>
  <si>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</si>
  <si>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</si>
  <si>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</si>
  <si>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</si>
  <si>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</si>
  <si>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</si>
  <si>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</si>
  <si>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</si>
  <si>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</si>
  <si>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</si>
  <si>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</si>
  <si>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</si>
  <si>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</si>
  <si>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</si>
  <si>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</si>
  <si>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</si>
  <si>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</si>
  <si>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</si>
  <si>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</si>
  <si>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</si>
  <si>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</si>
  <si>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</si>
  <si>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</si>
  <si>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</si>
  <si>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</si>
  <si>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</si>
  <si>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</si>
  <si>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</si>
  <si>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</si>
  <si>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</si>
  <si>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</si>
  <si>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</si>
  <si>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</si>
  <si>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</si>
  <si>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</si>
  <si>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</si>
  <si>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</si>
  <si>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</si>
  <si>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</si>
  <si>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</si>
  <si>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</si>
  <si>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</si>
  <si>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</si>
  <si>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</si>
  <si>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</si>
  <si>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</si>
  <si>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</si>
  <si>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</si>
  <si>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</si>
  <si>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</si>
  <si>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</si>
  <si>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</si>
  <si>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</si>
  <si>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</si>
  <si>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</si>
  <si>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</si>
  <si>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</si>
  <si>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</si>
  <si>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</si>
  <si>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</si>
  <si>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</si>
  <si>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</si>
  <si>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</si>
  <si>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</si>
  <si>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</si>
  <si>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</si>
  <si>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</si>
  <si>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</si>
  <si>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</si>
  <si>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</si>
  <si>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</si>
  <si>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</si>
  <si>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</si>
  <si>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</si>
  <si>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</si>
  <si>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</si>
  <si>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</si>
  <si>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</si>
  <si>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</si>
  <si>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</si>
  <si>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</si>
  <si>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</si>
  <si>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</si>
  <si>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</si>
  <si>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</si>
  <si>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</si>
  <si>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</si>
  <si>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</si>
  <si>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</si>
  <si>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</si>
  <si>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</si>
  <si>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</si>
  <si>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</si>
  <si>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</si>
  <si>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</si>
  <si>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</si>
  <si>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</si>
  <si>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</si>
  <si>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</si>
  <si>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</si>
  <si>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</si>
  <si>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</si>
  <si>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</si>
  <si>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</si>
  <si>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</si>
  <si>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</si>
  <si>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</si>
  <si>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</si>
  <si>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</si>
  <si>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</si>
  <si>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</si>
  <si>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</si>
  <si>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</si>
  <si>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</si>
  <si>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</si>
  <si>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</si>
  <si>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</si>
  <si>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</si>
  <si>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</si>
  <si>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</si>
  <si>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</si>
  <si>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</si>
  <si>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</si>
  <si>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</si>
  <si>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</si>
  <si>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</si>
  <si>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</si>
  <si>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</si>
  <si>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</si>
  <si>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</si>
  <si>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</si>
  <si>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</si>
  <si>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</si>
  <si>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</si>
  <si>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</si>
  <si>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</si>
  <si>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</si>
  <si>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</si>
  <si>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</si>
  <si>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</si>
  <si>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</si>
  <si>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</si>
  <si>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</si>
  <si>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</si>
  <si>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</si>
  <si>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</si>
  <si>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</si>
  <si>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</si>
  <si>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</si>
  <si>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</si>
  <si>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</si>
  <si>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</si>
  <si>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</si>
  <si>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</si>
  <si>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</si>
  <si>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</si>
  <si>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</si>
  <si>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</si>
  <si>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</si>
  <si>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</si>
  <si>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</si>
  <si>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</si>
  <si>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</si>
  <si>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</si>
  <si>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</si>
  <si>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</si>
  <si>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</si>
  <si>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</si>
  <si>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</si>
  <si>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</si>
  <si>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</si>
  <si>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</si>
  <si>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</si>
  <si>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</si>
  <si>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</si>
  <si>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</si>
  <si>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</si>
  <si>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</si>
  <si>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</si>
  <si>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</si>
  <si>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</si>
  <si>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</si>
  <si>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</si>
  <si>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</si>
  <si>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</si>
  <si>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</si>
  <si>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</si>
  <si>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</si>
  <si>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</si>
  <si>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</si>
  <si>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</si>
  <si>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</si>
  <si>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</si>
  <si>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</si>
  <si>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</si>
  <si>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</si>
  <si>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</si>
  <si>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</si>
  <si>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</si>
  <si>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</si>
  <si>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</si>
  <si>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</si>
  <si>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</si>
  <si>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</si>
  <si>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</si>
  <si>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</si>
  <si>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</si>
  <si>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</si>
  <si>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</si>
  <si>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</si>
  <si>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</si>
  <si>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</si>
  <si>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</si>
  <si>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</si>
  <si>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</si>
  <si>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</si>
  <si>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</si>
  <si>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</si>
  <si>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</si>
  <si>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</si>
  <si>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</si>
  <si>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</si>
  <si>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</si>
  <si>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</si>
  <si>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</si>
  <si>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</si>
  <si>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</si>
  <si>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</si>
  <si>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</si>
  <si>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</si>
  <si>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</si>
  <si>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</si>
  <si>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</si>
  <si>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</si>
  <si>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</si>
  <si>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</si>
  <si>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</si>
  <si>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</si>
  <si>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</si>
  <si>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</si>
  <si>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</si>
  <si>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</si>
  <si>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</si>
  <si>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</si>
  <si>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</si>
  <si>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</si>
  <si>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</si>
  <si>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</si>
  <si>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</si>
  <si>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</si>
  <si>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</si>
  <si>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</si>
  <si>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</si>
  <si>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</si>
  <si>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</si>
  <si>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</si>
  <si>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</si>
  <si>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</si>
  <si>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</si>
  <si>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</si>
  <si>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</si>
  <si>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</si>
  <si>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</si>
  <si>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</si>
  <si>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</si>
  <si>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</si>
  <si>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</si>
  <si>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</si>
  <si>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</si>
  <si>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</si>
  <si>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</si>
  <si>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</si>
  <si>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</si>
  <si>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</si>
  <si>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</si>
  <si>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</si>
  <si>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</si>
  <si>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</si>
  <si>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</si>
  <si>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</si>
  <si>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</si>
  <si>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</si>
  <si>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</si>
  <si>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</si>
  <si>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</si>
  <si>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</si>
  <si>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</si>
  <si>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</si>
  <si>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</si>
  <si>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</si>
  <si>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</si>
  <si>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</si>
  <si>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</si>
  <si>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</si>
  <si>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</si>
  <si>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</si>
  <si>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</si>
  <si>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</si>
  <si>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</si>
  <si>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</si>
  <si>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</si>
  <si>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</si>
  <si>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</si>
  <si>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</si>
  <si>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</si>
  <si>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</si>
  <si>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</si>
  <si>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</si>
  <si>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</si>
  <si>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</si>
  <si>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</si>
  <si>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</si>
  <si>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</si>
  <si>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</si>
  <si>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</si>
  <si>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</si>
  <si>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</si>
  <si>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</si>
  <si>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</si>
  <si>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</si>
  <si>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</si>
  <si>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</si>
  <si>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</si>
  <si>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</si>
  <si>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</si>
  <si>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</si>
  <si>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</si>
  <si>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</si>
  <si>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</si>
  <si>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</si>
  <si>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</si>
  <si>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</si>
  <si>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</si>
  <si>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</si>
  <si>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</si>
  <si>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</si>
  <si>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</si>
  <si>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</si>
  <si>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</si>
  <si>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</si>
  <si>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</si>
  <si>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</si>
  <si>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</si>
  <si>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</si>
  <si>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</si>
  <si>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</si>
  <si>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</si>
  <si>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</si>
  <si>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</si>
  <si>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</si>
  <si>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</si>
  <si>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</si>
  <si>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</si>
  <si>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</si>
  <si>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</si>
  <si>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</si>
  <si>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</si>
  <si>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</si>
  <si>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</si>
  <si>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</si>
  <si>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</si>
  <si>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</si>
  <si>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</si>
  <si>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</si>
  <si>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</si>
  <si>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</si>
  <si>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</si>
  <si>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</si>
  <si>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</si>
  <si>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</si>
  <si>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</si>
  <si>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</si>
  <si>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</si>
  <si>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</si>
  <si>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</si>
  <si>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</si>
  <si>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</si>
  <si>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</si>
  <si>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</si>
  <si>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</si>
  <si>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</si>
  <si>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</si>
  <si>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</si>
  <si>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</si>
  <si>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</si>
  <si>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</si>
  <si>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</si>
  <si>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</si>
  <si>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</si>
  <si>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</si>
  <si>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</si>
  <si>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</si>
  <si>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</si>
  <si>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</si>
  <si>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</si>
  <si>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</si>
  <si>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</si>
  <si>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</si>
  <si>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</si>
  <si>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</si>
  <si>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</si>
  <si>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</si>
  <si>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</si>
  <si>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</si>
  <si>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</si>
  <si>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</si>
  <si>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</si>
  <si>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</si>
  <si>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</si>
  <si>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</si>
  <si>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</si>
  <si>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</si>
  <si>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</si>
  <si>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</si>
  <si>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</si>
  <si>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</si>
  <si>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</si>
  <si>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</si>
  <si>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</si>
  <si>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</si>
  <si>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</si>
  <si>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</si>
  <si>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</si>
  <si>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</si>
  <si>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</si>
  <si>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</si>
  <si>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</si>
  <si>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</si>
  <si>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</si>
  <si>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</si>
  <si>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</si>
  <si>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</si>
  <si>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</si>
  <si>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</si>
  <si>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</si>
  <si>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</si>
  <si>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</si>
  <si>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</si>
  <si>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</si>
  <si>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</si>
  <si>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</si>
  <si>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</si>
  <si>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</si>
  <si>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</si>
  <si>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</si>
  <si>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</si>
  <si>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</si>
  <si>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</si>
  <si>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</si>
  <si>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</si>
  <si>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</si>
  <si>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</si>
  <si>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</si>
  <si>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</si>
  <si>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</si>
  <si>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</si>
  <si>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</si>
  <si>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</si>
  <si>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</si>
  <si>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</si>
  <si>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</si>
  <si>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</si>
  <si>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</si>
  <si>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</si>
  <si>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</si>
  <si>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</si>
  <si>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</si>
  <si>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</si>
  <si>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</si>
  <si>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</si>
  <si>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</si>
  <si>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</si>
  <si>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</si>
  <si>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</si>
  <si>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</si>
  <si>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</si>
  <si>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</si>
  <si>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</si>
  <si>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</si>
  <si>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</si>
  <si>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</si>
  <si>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</si>
  <si>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</si>
  <si>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</si>
  <si>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</si>
  <si>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</si>
  <si>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</si>
  <si>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</si>
  <si>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</si>
  <si>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</si>
  <si>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</si>
  <si>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</si>
  <si>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</si>
  <si>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</si>
  <si>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</si>
  <si>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</si>
  <si>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</si>
  <si>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</si>
  <si>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</si>
  <si>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</si>
  <si>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</si>
  <si>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</si>
  <si>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</si>
  <si>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</si>
  <si>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</si>
  <si>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</si>
  <si>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</si>
  <si>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</si>
  <si>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</si>
  <si>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</si>
  <si>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</si>
  <si>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</si>
  <si>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</si>
  <si>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</si>
  <si>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</si>
  <si>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</si>
  <si>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</si>
  <si>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</si>
  <si>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</si>
  <si>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</si>
  <si>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</si>
  <si>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</si>
  <si>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</si>
  <si>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</si>
  <si>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</si>
  <si>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</si>
  <si>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</si>
  <si>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</si>
  <si>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</si>
  <si>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</si>
  <si>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</si>
  <si>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</si>
  <si>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</si>
  <si>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</si>
  <si>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</si>
  <si>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</si>
  <si>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</si>
  <si>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</si>
  <si>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</si>
  <si>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</si>
  <si>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</si>
  <si>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</si>
  <si>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</si>
  <si>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</si>
  <si>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</si>
  <si>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</si>
  <si>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</si>
  <si>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</si>
  <si>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</si>
  <si>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</si>
  <si>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</si>
  <si>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</si>
  <si>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</si>
  <si>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</si>
  <si>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</si>
  <si>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</si>
  <si>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</si>
  <si>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</si>
  <si>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</si>
  <si>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</si>
  <si>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</si>
  <si>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</si>
  <si>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</si>
  <si>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</si>
  <si>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</si>
  <si>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</si>
  <si>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</si>
  <si>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</si>
  <si>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</si>
  <si>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</si>
  <si>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</si>
  <si>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</si>
  <si>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</si>
  <si>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</si>
  <si>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</si>
  <si>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</si>
  <si>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</si>
  <si>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</si>
  <si>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</si>
  <si>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</si>
  <si>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</si>
  <si>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</si>
  <si>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</si>
  <si>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</si>
  <si>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</si>
  <si>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</si>
  <si>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</si>
  <si>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</si>
  <si>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</si>
  <si>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</si>
  <si>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</si>
  <si>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</si>
  <si>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</si>
  <si>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</si>
  <si>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</si>
  <si>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</si>
  <si>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</si>
  <si>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</si>
  <si>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</si>
  <si>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</si>
  <si>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</si>
  <si>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</si>
  <si>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</si>
  <si>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</si>
  <si>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</si>
  <si>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</si>
  <si>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</si>
  <si>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</si>
  <si>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</si>
  <si>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</si>
  <si>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</si>
  <si>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</si>
  <si>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</si>
  <si>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</si>
  <si>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</si>
  <si>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</si>
  <si>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</si>
  <si>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</si>
  <si>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</si>
  <si>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</si>
  <si>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</si>
  <si>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</si>
  <si>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</si>
  <si>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</si>
  <si>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</si>
  <si>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</si>
  <si>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</si>
  <si>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</si>
  <si>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</si>
  <si>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</si>
  <si>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</si>
  <si>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</si>
  <si>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</si>
  <si>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</si>
  <si>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</si>
  <si>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</si>
  <si>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</si>
  <si>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</si>
  <si>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</si>
  <si>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</si>
  <si>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</si>
  <si>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</si>
  <si>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</si>
  <si>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</si>
  <si>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</si>
  <si>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</si>
  <si>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</si>
  <si>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</si>
  <si>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</si>
  <si>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</si>
  <si>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</si>
  <si>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</si>
  <si>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</si>
  <si>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</si>
  <si>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</si>
  <si>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</si>
  <si>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</si>
  <si>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</si>
  <si>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</si>
  <si>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</si>
  <si>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</si>
  <si>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</si>
  <si>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</si>
  <si>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</si>
  <si>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</si>
  <si>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</si>
  <si>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</si>
  <si>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</si>
  <si>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</si>
  <si>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</si>
  <si>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</si>
  <si>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</si>
  <si>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</si>
  <si>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</si>
  <si>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</si>
  <si>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</si>
  <si>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</si>
  <si>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</si>
  <si>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</si>
  <si>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</si>
  <si>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</si>
  <si>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</si>
  <si>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</si>
  <si>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</si>
  <si>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</si>
  <si>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</si>
  <si>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</si>
  <si>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</si>
  <si>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</si>
  <si>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</si>
  <si>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</si>
  <si>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</si>
  <si>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</si>
  <si>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</si>
  <si>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</si>
  <si>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</si>
  <si>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</si>
  <si>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</si>
  <si>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</si>
  <si>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</si>
  <si>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</si>
  <si>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</si>
  <si>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</si>
  <si>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</si>
  <si>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</si>
  <si>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</si>
  <si>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</si>
  <si>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</si>
  <si>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</si>
  <si>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</si>
  <si>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</si>
  <si>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</si>
  <si>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</si>
  <si>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</si>
  <si>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</si>
  <si>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</si>
  <si>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</si>
  <si>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</si>
  <si>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</si>
  <si>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</si>
  <si>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</si>
  <si>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</si>
  <si>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</si>
  <si>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</si>
  <si>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</si>
  <si>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</si>
  <si>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</si>
  <si>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</si>
  <si>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</si>
  <si>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</si>
  <si>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</si>
  <si>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</si>
  <si>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</si>
  <si>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</si>
  <si>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</si>
  <si>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</si>
  <si>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</si>
  <si>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</si>
  <si>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</si>
  <si>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</si>
  <si>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</si>
  <si>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</si>
  <si>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</si>
  <si>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</si>
  <si>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</si>
  <si>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</si>
  <si>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</si>
  <si>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</si>
  <si>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</si>
  <si>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</si>
  <si>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</si>
  <si>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</si>
  <si>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</si>
  <si>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</si>
  <si>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</si>
  <si>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</si>
  <si>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</si>
  <si>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</si>
  <si>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</si>
  <si>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</si>
  <si>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</si>
  <si>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</si>
  <si>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</si>
  <si>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</si>
  <si>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</si>
  <si>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</si>
  <si>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</si>
  <si>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</si>
  <si>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</si>
  <si>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</si>
  <si>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</si>
  <si>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</si>
  <si>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</si>
  <si>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</si>
  <si>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</si>
  <si>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</si>
  <si>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</si>
  <si>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</si>
  <si>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</si>
  <si>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</si>
  <si>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</si>
  <si>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</si>
  <si>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</si>
  <si>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</si>
  <si>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</si>
  <si>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</si>
  <si>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</si>
  <si>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</si>
  <si>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</si>
  <si>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</si>
  <si>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</si>
  <si>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</si>
  <si>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</si>
  <si>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</si>
  <si>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</si>
  <si>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</si>
  <si>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</si>
  <si>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</si>
  <si>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</si>
  <si>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</si>
  <si>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</si>
  <si>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</si>
  <si>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</si>
  <si>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</si>
  <si>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</si>
  <si>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</si>
  <si>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</si>
  <si>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</si>
  <si>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</si>
  <si>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</si>
  <si>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</si>
  <si>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</si>
  <si>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</si>
  <si>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</si>
  <si>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</si>
  <si>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</si>
  <si>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</si>
  <si>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</si>
  <si>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</si>
  <si>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</si>
  <si>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</si>
  <si>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</si>
  <si>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</si>
  <si>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</si>
  <si>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</si>
  <si>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</si>
  <si>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</si>
  <si>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</si>
  <si>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</si>
  <si>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</si>
  <si>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</si>
  <si>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</si>
  <si>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</si>
  <si>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</si>
  <si>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</si>
  <si>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</si>
  <si>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</si>
  <si>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</si>
  <si>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</si>
  <si>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</si>
  <si>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</si>
  <si>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</si>
  <si>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</si>
  <si>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</si>
  <si>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</si>
  <si>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</si>
  <si>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</si>
  <si>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</si>
  <si>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</si>
  <si>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</si>
  <si>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</si>
  <si>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</si>
  <si>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</si>
  <si>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</si>
  <si>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</si>
  <si>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</si>
  <si>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</si>
  <si>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</si>
  <si>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</si>
  <si>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</si>
  <si>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</si>
  <si>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</si>
  <si>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</si>
  <si>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</si>
  <si>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</si>
  <si>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</si>
  <si>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</si>
  <si>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</si>
  <si>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</si>
  <si>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</si>
  <si>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</si>
  <si>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</si>
  <si>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</si>
  <si>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</si>
  <si>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</si>
  <si>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</si>
  <si>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</si>
  <si>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</si>
  <si>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</si>
  <si>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</si>
  <si>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</si>
  <si>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</si>
  <si>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</si>
  <si>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</si>
  <si>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</si>
  <si>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</si>
  <si>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</si>
  <si>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</si>
  <si>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</si>
  <si>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</si>
  <si>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</si>
  <si>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</si>
  <si>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</si>
  <si>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</si>
  <si>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</si>
  <si>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</si>
  <si>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</si>
  <si>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</si>
  <si>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</si>
  <si>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</si>
  <si>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</si>
  <si>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</si>
  <si>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</si>
  <si>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</si>
  <si>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</si>
  <si>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</si>
  <si>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</si>
  <si>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</si>
  <si>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</si>
  <si>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</si>
  <si>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</si>
  <si>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</si>
  <si>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</si>
  <si>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</si>
  <si>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</si>
  <si>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</si>
  <si>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</si>
  <si>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</si>
  <si>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</si>
  <si>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</si>
  <si>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</si>
  <si>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</si>
  <si>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</si>
  <si>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</si>
  <si>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</si>
  <si>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</si>
  <si>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</si>
  <si>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</si>
  <si>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</si>
  <si>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</si>
  <si>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</si>
  <si>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</si>
  <si>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</si>
  <si>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</si>
  <si>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</si>
  <si>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</si>
  <si>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</si>
  <si>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</si>
  <si>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</si>
  <si>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</si>
  <si>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</si>
  <si>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</si>
  <si>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</si>
  <si>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</si>
  <si>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</si>
  <si>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</si>
  <si>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</si>
  <si>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</si>
  <si>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</si>
  <si>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</si>
  <si>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</si>
  <si>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</si>
  <si>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</si>
  <si>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</si>
  <si>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</si>
  <si>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</si>
  <si>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</si>
  <si>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</si>
  <si>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</si>
  <si>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</si>
  <si>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</si>
  <si>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</si>
  <si>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</si>
  <si>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</si>
  <si>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</si>
  <si>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</si>
  <si>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</si>
  <si>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</si>
  <si>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</si>
  <si>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</si>
  <si>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</si>
  <si>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</si>
  <si>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</si>
  <si>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</si>
  <si>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</si>
  <si>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</si>
  <si>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</si>
  <si>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</si>
  <si>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</si>
  <si>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</si>
  <si>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</si>
  <si>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</si>
  <si>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</si>
  <si>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</si>
  <si>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</si>
  <si>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</si>
  <si>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</si>
  <si>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</si>
  <si>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</si>
  <si>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</si>
  <si>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</si>
  <si>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</si>
  <si>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</si>
  <si>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</si>
  <si>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</si>
  <si>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</si>
  <si>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</si>
  <si>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</si>
  <si>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</si>
  <si>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</si>
  <si>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</si>
  <si>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</si>
  <si>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</si>
  <si>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</si>
  <si>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</si>
  <si>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</si>
  <si>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</si>
  <si>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</si>
  <si>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</si>
  <si>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</si>
  <si>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</si>
  <si>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</si>
  <si>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</si>
  <si>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</si>
  <si>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</si>
  <si>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</si>
  <si>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</si>
  <si>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</si>
  <si>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</si>
  <si>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</si>
  <si>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</si>
  <si>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</si>
  <si>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</si>
  <si>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</si>
  <si>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</si>
  <si>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</si>
  <si>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</si>
  <si>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</si>
  <si>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</si>
  <si>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</si>
  <si>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</si>
  <si>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</si>
  <si>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</si>
  <si>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</si>
  <si>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</si>
  <si>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</si>
  <si>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</si>
  <si>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</si>
  <si>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</si>
  <si>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</si>
  <si>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</si>
  <si>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</si>
  <si>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</si>
  <si>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</si>
  <si>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</si>
  <si>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</si>
  <si>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</si>
  <si>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</si>
  <si>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</si>
  <si>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</si>
  <si>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</si>
  <si>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</si>
  <si>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</si>
  <si>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</si>
  <si>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</si>
  <si>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</si>
  <si>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</si>
  <si>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</si>
  <si>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</si>
  <si>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</si>
  <si>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</si>
  <si>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</si>
  <si>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</si>
  <si>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</si>
  <si>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</si>
  <si>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</si>
  <si>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</si>
  <si>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</si>
  <si>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</si>
  <si>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</si>
  <si>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</si>
  <si>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</si>
  <si>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</si>
  <si>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</si>
  <si>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</si>
  <si>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</si>
  <si>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</si>
  <si>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</si>
  <si>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</si>
  <si>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</si>
  <si>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</si>
  <si>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</si>
  <si>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</si>
  <si>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</si>
  <si>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</si>
  <si>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</si>
  <si>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</si>
  <si>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</si>
  <si>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</si>
  <si>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</si>
  <si>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</si>
  <si>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</si>
  <si>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</si>
  <si>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</si>
  <si>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</si>
  <si>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</si>
  <si>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</si>
  <si>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</si>
  <si>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</si>
  <si>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</si>
  <si>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</si>
  <si>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</si>
  <si>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</si>
  <si>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</si>
  <si>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</si>
  <si>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</si>
  <si>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</si>
  <si>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</si>
  <si>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</si>
  <si>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</si>
  <si>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</si>
  <si>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</si>
  <si>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</si>
  <si>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</si>
  <si>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</si>
  <si>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</si>
  <si>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</si>
  <si>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</si>
  <si>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</si>
  <si>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</si>
  <si>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</si>
  <si>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</si>
  <si>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</si>
  <si>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</si>
  <si>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</si>
  <si>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</si>
  <si>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</si>
  <si>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</si>
  <si>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</si>
  <si>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</si>
  <si>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</si>
  <si>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</si>
  <si>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</si>
  <si>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</si>
  <si>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</si>
  <si>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</si>
  <si>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</si>
  <si>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</si>
  <si>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</si>
  <si>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</si>
  <si>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</si>
  <si>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</si>
  <si>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</si>
  <si>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</si>
  <si>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</si>
  <si>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</si>
  <si>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</si>
  <si>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</si>
  <si>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</si>
  <si>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</si>
  <si>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</si>
  <si>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</si>
  <si>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</si>
  <si>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</si>
  <si>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</si>
  <si>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</si>
  <si>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</si>
  <si>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</si>
  <si>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</si>
  <si>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</si>
  <si>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</si>
  <si>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</si>
  <si>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</si>
  <si>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</si>
  <si>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</si>
  <si>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</si>
  <si>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</si>
  <si>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</si>
  <si>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</si>
  <si>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</si>
  <si>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</si>
  <si>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</si>
  <si>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</si>
  <si>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</si>
  <si>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</si>
  <si>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</si>
  <si>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</si>
  <si>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</si>
  <si>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</si>
  <si>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</si>
  <si>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</si>
  <si>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</si>
  <si>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</si>
  <si>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</si>
  <si>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</si>
  <si>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</si>
  <si>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</si>
  <si>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</si>
  <si>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</si>
  <si>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</si>
  <si>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</si>
  <si>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</si>
  <si>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</si>
  <si>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</si>
  <si>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</si>
  <si>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</si>
  <si>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</si>
  <si>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</si>
  <si>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</si>
  <si>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</si>
  <si>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</si>
  <si>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</si>
  <si>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</si>
  <si>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</si>
  <si>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</si>
  <si>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</si>
  <si>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</si>
  <si>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</si>
  <si>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</si>
  <si>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</si>
  <si>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</si>
  <si>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</si>
  <si>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</si>
  <si>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</si>
  <si>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</si>
  <si>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</si>
  <si>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</si>
  <si>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</si>
  <si>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</si>
  <si>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</si>
  <si>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</si>
  <si>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</si>
  <si>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</si>
  <si>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</si>
  <si>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</si>
  <si>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</si>
  <si>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</si>
  <si>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</si>
  <si>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</si>
  <si>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</si>
  <si>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</si>
  <si>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</si>
  <si>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</si>
  <si>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</si>
  <si>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</si>
  <si>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</si>
  <si>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</si>
  <si>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</si>
  <si>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</si>
  <si>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</si>
  <si>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</si>
  <si>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</si>
  <si>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</si>
  <si>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</si>
  <si>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</si>
  <si>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</si>
  <si>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</si>
  <si>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</si>
  <si>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</si>
  <si>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</si>
  <si>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</si>
  <si>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</si>
  <si>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</si>
  <si>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</si>
  <si>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</si>
  <si>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</si>
  <si>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</si>
  <si>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</si>
  <si>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</si>
  <si>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</si>
  <si>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</si>
  <si>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</si>
  <si>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</si>
  <si>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</si>
  <si>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</si>
  <si>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</si>
  <si>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</si>
  <si>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</si>
  <si>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</si>
  <si>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</si>
  <si>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</si>
  <si>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</si>
  <si>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</si>
  <si>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</si>
  <si>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</si>
  <si>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</si>
  <si>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</si>
  <si>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</si>
  <si>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</si>
  <si>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</si>
  <si>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</si>
  <si>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</si>
  <si>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</si>
  <si>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</si>
  <si>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</si>
  <si>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</si>
  <si>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</si>
  <si>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</si>
  <si>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</si>
  <si>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</si>
  <si>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</si>
  <si>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</si>
  <si>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</si>
  <si>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</si>
  <si>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</si>
  <si>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</si>
  <si>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</si>
  <si>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</si>
  <si>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</si>
  <si>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</si>
  <si>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</si>
  <si>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</si>
  <si>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</si>
  <si>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</si>
  <si>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</si>
  <si>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</si>
  <si>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</si>
  <si>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</si>
  <si>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</si>
  <si>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</si>
  <si>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</si>
  <si>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</si>
  <si>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</si>
  <si>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</si>
  <si>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</si>
  <si>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</si>
  <si>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</si>
  <si>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</si>
  <si>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</si>
  <si>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</si>
  <si>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</si>
  <si>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</si>
  <si>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</si>
  <si>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</si>
  <si>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</si>
  <si>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</si>
  <si>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</si>
  <si>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</si>
  <si>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</si>
  <si>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</si>
  <si>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</si>
  <si>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</si>
  <si>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</si>
  <si>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</si>
  <si>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</si>
  <si>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</si>
  <si>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</si>
  <si>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</si>
  <si>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</si>
  <si>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</si>
  <si>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</si>
  <si>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</si>
  <si>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</si>
  <si>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</si>
  <si>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</si>
  <si>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</si>
  <si>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</si>
  <si>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</si>
  <si>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</si>
  <si>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</si>
  <si>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</si>
  <si>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</si>
  <si>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</si>
  <si>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</si>
  <si>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</si>
  <si>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</si>
  <si>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</si>
  <si>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</si>
  <si>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</si>
  <si>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</si>
  <si>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</si>
  <si>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</si>
  <si>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</si>
  <si>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</si>
  <si>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</si>
  <si>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</si>
  <si>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</si>
  <si>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</si>
  <si>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</si>
  <si>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</si>
  <si>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</si>
  <si>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</si>
  <si>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</si>
  <si>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</si>
  <si>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</si>
  <si>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</si>
  <si>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</si>
  <si>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</si>
  <si>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</si>
  <si>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</si>
  <si>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</si>
  <si>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</si>
  <si>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</si>
  <si>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</si>
  <si>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</si>
  <si>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</si>
  <si>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</si>
  <si>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</si>
  <si>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</si>
  <si>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</si>
  <si>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</si>
  <si>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</si>
  <si>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</si>
  <si>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</si>
  <si>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</si>
  <si>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</si>
  <si>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</si>
  <si>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</si>
  <si>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</si>
  <si>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</si>
  <si>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</si>
  <si>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</si>
  <si>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</si>
  <si>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</si>
  <si>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</si>
  <si>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</si>
  <si>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</si>
  <si>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</si>
  <si>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</si>
  <si>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</si>
  <si>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</si>
  <si>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</si>
  <si>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</si>
  <si>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</si>
  <si>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</si>
  <si>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</si>
  <si>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</si>
  <si>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</si>
  <si>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</si>
  <si>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</si>
  <si>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</si>
  <si>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</si>
  <si>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</si>
  <si>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</si>
  <si>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</si>
  <si>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</si>
  <si>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</si>
  <si>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</si>
  <si>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</si>
  <si>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</si>
  <si>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</si>
  <si>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</si>
  <si>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</si>
  <si>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</si>
  <si>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</si>
  <si>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</si>
  <si>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</si>
  <si>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</si>
  <si>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</si>
  <si>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</si>
  <si>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</si>
  <si>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</si>
  <si>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</si>
  <si>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</si>
  <si>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</si>
  <si>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</si>
  <si>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</si>
  <si>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</si>
  <si>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</si>
  <si>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</si>
  <si>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</si>
  <si>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</si>
  <si>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</si>
  <si>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</si>
  <si>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</si>
  <si>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</si>
  <si>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</si>
  <si>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</si>
  <si>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</si>
  <si>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</si>
  <si>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</si>
  <si>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</si>
  <si>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</si>
  <si>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</si>
  <si>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</si>
  <si>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</si>
  <si>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</si>
  <si>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</si>
  <si>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</si>
  <si>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</si>
  <si>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</si>
  <si>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</si>
  <si>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</si>
  <si>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</si>
  <si>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</si>
  <si>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</si>
  <si>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</si>
  <si>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</si>
  <si>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</si>
  <si>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</si>
  <si>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</si>
  <si>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</si>
  <si>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</si>
  <si>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</si>
  <si>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</si>
  <si>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</si>
  <si>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</si>
  <si>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</si>
  <si>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</si>
  <si>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</si>
  <si>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</si>
  <si>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</si>
  <si>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</si>
  <si>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</si>
  <si>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</si>
  <si>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</si>
  <si>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</si>
  <si>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</si>
  <si>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</si>
  <si>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</si>
  <si>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</si>
  <si>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</si>
  <si>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</si>
  <si>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</si>
  <si>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</si>
  <si>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</si>
  <si>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</si>
  <si>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</si>
  <si>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</si>
  <si>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</si>
  <si>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</si>
  <si>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</si>
  <si>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</si>
  <si>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</si>
  <si>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</si>
  <si>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</si>
  <si>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</si>
  <si>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</si>
  <si>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</si>
  <si>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</si>
  <si>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</si>
  <si>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</si>
  <si>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</si>
  <si>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</si>
  <si>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</si>
  <si>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</si>
  <si>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</si>
  <si>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</si>
  <si>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</si>
  <si>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</si>
  <si>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</si>
  <si>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</si>
  <si>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</si>
  <si>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</si>
  <si>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</si>
  <si>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</si>
  <si>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</si>
  <si>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</si>
  <si>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</si>
  <si>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</si>
  <si>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</si>
  <si>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</si>
  <si>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</si>
  <si>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</si>
  <si>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</si>
  <si>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</si>
  <si>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</si>
  <si>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</si>
  <si>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</si>
  <si>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</si>
  <si>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</si>
  <si>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</si>
  <si>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</si>
  <si>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</si>
  <si>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</si>
  <si>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</si>
  <si>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</si>
  <si>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</si>
  <si>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</si>
  <si>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</si>
  <si>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</si>
  <si>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</si>
  <si>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</si>
  <si>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</si>
  <si>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</si>
  <si>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</si>
  <si>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</si>
  <si>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</si>
  <si>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</si>
  <si>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</si>
  <si>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</si>
  <si>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</si>
  <si>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</si>
  <si>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</si>
  <si>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</si>
  <si>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</si>
  <si>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</si>
  <si>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</si>
  <si>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</si>
  <si>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</si>
  <si>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</si>
  <si>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</si>
  <si>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</si>
  <si>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</si>
  <si>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</si>
  <si>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</si>
  <si>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</si>
  <si>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</si>
  <si>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</si>
  <si>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</si>
  <si>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</si>
  <si>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</si>
  <si>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</si>
  <si>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</si>
  <si>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</si>
  <si>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</si>
  <si>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</si>
  <si>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</si>
  <si>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</si>
  <si>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</si>
  <si>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</si>
  <si>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</si>
  <si>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</si>
  <si>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</si>
  <si>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</si>
  <si>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</si>
  <si>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</si>
  <si>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</si>
  <si>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</si>
  <si>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</si>
  <si>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</si>
  <si>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</si>
  <si>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</si>
  <si>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</si>
  <si>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</si>
  <si>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</si>
  <si>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</si>
  <si>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</si>
  <si>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</si>
  <si>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</si>
  <si>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</si>
  <si>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</si>
  <si>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</si>
  <si>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</si>
  <si>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</si>
  <si>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</si>
  <si>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</si>
  <si>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</si>
  <si>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</si>
  <si>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</si>
  <si>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</si>
  <si>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</si>
  <si>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</si>
  <si>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</si>
  <si>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</si>
  <si>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</si>
  <si>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</si>
  <si>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</si>
  <si>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</si>
  <si>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</si>
  <si>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</si>
  <si>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</si>
  <si>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</si>
  <si>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</si>
  <si>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</si>
  <si>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</si>
  <si>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</si>
  <si>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</si>
  <si>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</si>
  <si>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</si>
  <si>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</si>
  <si>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</si>
  <si>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</si>
  <si>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</si>
  <si>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</si>
  <si>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</si>
  <si>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</si>
  <si>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</si>
  <si>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</si>
  <si>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</si>
  <si>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</si>
  <si>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</si>
  <si>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</si>
  <si>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</si>
  <si>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</si>
  <si>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</si>
  <si>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</si>
  <si>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</si>
  <si>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</si>
  <si>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</si>
  <si>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</si>
  <si>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</si>
  <si>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</si>
  <si>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</si>
  <si>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</si>
  <si>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</si>
  <si>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</si>
  <si>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</si>
  <si>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</si>
  <si>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</si>
  <si>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</si>
  <si>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</si>
  <si>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</si>
  <si>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</si>
  <si>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</si>
  <si>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</si>
  <si>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</si>
  <si>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</si>
  <si>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</si>
  <si>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</si>
  <si>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</si>
  <si>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</si>
  <si>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</si>
  <si>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</si>
  <si>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</si>
  <si>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</si>
  <si>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</si>
  <si>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</si>
  <si>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</si>
  <si>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</si>
  <si>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</si>
  <si>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</si>
  <si>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</si>
  <si>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</si>
  <si>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</si>
  <si>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</si>
  <si>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</si>
  <si>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</si>
  <si>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</si>
  <si>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</si>
  <si>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</si>
  <si>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</si>
  <si>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</si>
  <si>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</si>
  <si>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</si>
  <si>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</si>
  <si>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</si>
  <si>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</si>
  <si>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</si>
  <si>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</si>
  <si>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</si>
  <si>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</si>
  <si>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</si>
  <si>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</si>
  <si>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</si>
  <si>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</si>
  <si>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</si>
  <si>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</si>
  <si>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</si>
  <si>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</si>
  <si>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</si>
  <si>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</si>
  <si>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</si>
  <si>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</si>
  <si>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</si>
  <si>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</si>
  <si>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</si>
  <si>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</si>
  <si>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</si>
  <si>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</si>
  <si>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</si>
  <si>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</si>
  <si>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</si>
  <si>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</si>
  <si>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</si>
  <si>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</si>
  <si>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</si>
  <si>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</si>
  <si>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</si>
  <si>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</si>
  <si>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</si>
  <si>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</si>
  <si>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</si>
  <si>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</si>
  <si>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</si>
  <si>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</si>
  <si>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</si>
  <si>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</si>
  <si>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</si>
  <si>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</si>
  <si>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</si>
  <si>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</si>
  <si>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</si>
  <si>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</si>
  <si>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</si>
  <si>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</si>
  <si>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</si>
  <si>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</si>
  <si>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</si>
  <si>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</si>
  <si>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</si>
  <si>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</si>
  <si>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</si>
  <si>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</si>
  <si>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</si>
  <si>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</si>
  <si>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</si>
  <si>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</si>
  <si>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</si>
  <si>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</si>
  <si>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</si>
  <si>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</si>
  <si>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</si>
  <si>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</si>
  <si>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</si>
  <si>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</si>
  <si>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</si>
  <si>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</si>
  <si>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</si>
  <si>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</si>
  <si>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</si>
  <si>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</si>
  <si>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</si>
  <si>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</si>
  <si>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</si>
  <si>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</si>
  <si>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</si>
  <si>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</si>
  <si>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</si>
  <si>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</si>
  <si>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</si>
  <si>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</si>
  <si>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</si>
  <si>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</si>
  <si>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</si>
  <si>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</si>
  <si>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</si>
  <si>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</si>
  <si>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</si>
  <si>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</si>
  <si>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</si>
  <si>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</si>
  <si>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</si>
  <si>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</si>
  <si>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</si>
  <si>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</si>
  <si>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</si>
  <si>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</si>
  <si>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</si>
  <si>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</si>
  <si>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</si>
  <si>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</si>
  <si>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</si>
  <si>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</si>
  <si>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</si>
  <si>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</si>
  <si>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</si>
  <si>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</si>
  <si>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</si>
  <si>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</si>
  <si>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</si>
  <si>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</si>
  <si>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</si>
  <si>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</si>
  <si>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</si>
  <si>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</si>
  <si>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</si>
  <si>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</si>
  <si>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</si>
  <si>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</si>
  <si>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</si>
  <si>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</si>
  <si>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</si>
  <si>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</si>
  <si>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</si>
  <si>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</si>
  <si>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</si>
  <si>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</si>
  <si>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</si>
  <si>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</si>
  <si>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</si>
  <si>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</si>
  <si>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</si>
  <si>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</si>
  <si>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</si>
  <si>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</si>
  <si>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</si>
  <si>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</si>
  <si>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</si>
  <si>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</si>
  <si>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</si>
  <si>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</si>
  <si>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</si>
  <si>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</si>
  <si>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</si>
  <si>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</si>
  <si>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</si>
  <si>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</si>
  <si>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</si>
  <si>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</si>
  <si>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</si>
  <si>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</si>
  <si>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</si>
  <si>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</si>
  <si>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</si>
  <si>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</si>
  <si>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</si>
  <si>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</si>
  <si>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</si>
  <si>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</si>
  <si>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</si>
  <si>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</si>
  <si>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</si>
  <si>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</si>
  <si>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</si>
  <si>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</si>
  <si>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</si>
  <si>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</si>
  <si>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</si>
  <si>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</si>
  <si>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</si>
  <si>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</si>
  <si>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</si>
  <si>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</si>
  <si>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</si>
  <si>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</si>
  <si>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</si>
  <si>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</si>
  <si>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</si>
  <si>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</si>
  <si>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</si>
  <si>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</si>
  <si>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</si>
  <si>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</si>
  <si>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</si>
  <si>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</si>
  <si>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</si>
  <si>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</si>
  <si>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</si>
  <si>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</si>
  <si>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</si>
  <si>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</si>
  <si>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</si>
  <si>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</si>
  <si>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</si>
  <si>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</si>
  <si>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</si>
  <si>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</si>
  <si>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</si>
  <si>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</si>
  <si>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</si>
  <si>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</si>
  <si>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</si>
  <si>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</si>
  <si>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</si>
  <si>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</si>
  <si>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</si>
  <si>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</si>
  <si>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</si>
  <si>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</si>
  <si>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</si>
  <si>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</si>
  <si>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</si>
  <si>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</si>
  <si>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</si>
  <si>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</si>
  <si>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</si>
  <si>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</si>
  <si>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</si>
  <si>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</si>
  <si>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</si>
  <si>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</si>
  <si>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</si>
  <si>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</si>
  <si>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</si>
  <si>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</si>
  <si>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</si>
  <si>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</si>
  <si>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</si>
  <si>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</si>
  <si>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</si>
  <si>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</si>
  <si>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</si>
  <si>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</si>
  <si>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</si>
  <si>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</si>
  <si>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</si>
  <si>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</si>
  <si>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</si>
  <si>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</si>
  <si>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</si>
  <si>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</si>
  <si>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</si>
  <si>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</si>
  <si>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</si>
  <si>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</si>
  <si>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</si>
  <si>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</si>
  <si>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</si>
  <si>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</si>
  <si>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</si>
  <si>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</si>
  <si>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</si>
  <si>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</si>
  <si>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</si>
  <si>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</si>
  <si>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</si>
  <si>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</si>
  <si>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</si>
  <si>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</si>
  <si>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</si>
  <si>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</si>
  <si>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</si>
  <si>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</si>
  <si>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</si>
  <si>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</si>
  <si>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</si>
  <si>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</si>
  <si>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</si>
  <si>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</si>
  <si>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</si>
  <si>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</si>
  <si>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</si>
  <si>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</si>
  <si>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</si>
  <si>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</si>
  <si>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</si>
  <si>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</si>
  <si>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</si>
  <si>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</si>
  <si>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</si>
  <si>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</si>
  <si>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</si>
  <si>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</si>
  <si>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</si>
  <si>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</si>
  <si>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</si>
  <si>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</si>
  <si>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</si>
  <si>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</si>
  <si>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</si>
  <si>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</si>
  <si>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</si>
  <si>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</si>
  <si>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</si>
  <si>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</si>
  <si>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</si>
  <si>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</si>
  <si>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</si>
  <si>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</si>
  <si>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</si>
  <si>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</si>
  <si>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</si>
  <si>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</si>
  <si>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</si>
  <si>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</si>
  <si>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</si>
  <si>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</si>
  <si>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</si>
  <si>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</si>
  <si>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</si>
  <si>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</si>
  <si>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</si>
  <si>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</si>
  <si>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</si>
  <si>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</si>
  <si>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</si>
  <si>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</si>
  <si>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</si>
  <si>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</si>
  <si>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</si>
  <si>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</si>
  <si>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</si>
  <si>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</si>
  <si>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</si>
  <si>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</si>
  <si>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</si>
  <si>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</si>
  <si>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</si>
  <si>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</si>
  <si>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</si>
  <si>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</si>
  <si>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</si>
  <si>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</si>
  <si>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</si>
  <si>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</si>
  <si>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</si>
  <si>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</si>
  <si>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</si>
  <si>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</si>
  <si>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</si>
  <si>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</si>
  <si>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</si>
  <si>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</si>
  <si>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</si>
  <si>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</si>
  <si>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</si>
  <si>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</si>
  <si>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</si>
  <si>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</si>
  <si>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</si>
  <si>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</si>
  <si>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</si>
  <si>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</si>
  <si>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</si>
  <si>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</si>
  <si>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</si>
  <si>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</si>
  <si>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</si>
  <si>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</si>
  <si>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</si>
  <si>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</si>
  <si>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</si>
  <si>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</si>
  <si>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</si>
  <si>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</si>
  <si>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</si>
  <si>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</si>
  <si>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</si>
  <si>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</si>
  <si>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</si>
  <si>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</si>
  <si>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</si>
  <si>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</si>
  <si>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</si>
  <si>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</si>
  <si>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</si>
  <si>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</si>
  <si>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</si>
  <si>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</si>
  <si>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</si>
  <si>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</si>
  <si>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</si>
  <si>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</si>
  <si>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</si>
  <si>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</si>
  <si>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</si>
  <si>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</si>
  <si>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</si>
  <si>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</si>
  <si>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</si>
  <si>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</si>
  <si>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</si>
  <si>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</si>
  <si>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</si>
  <si>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</si>
  <si>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</si>
  <si>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</si>
  <si>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</si>
  <si>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</si>
  <si>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</si>
  <si>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</si>
  <si>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</si>
  <si>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</si>
  <si>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</si>
  <si>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</si>
  <si>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</si>
  <si>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</si>
  <si>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</si>
  <si>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</si>
  <si>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</si>
  <si>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</si>
  <si>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</si>
  <si>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</si>
  <si>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</si>
  <si>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</si>
  <si>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</si>
  <si>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</si>
  <si>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</si>
  <si>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</si>
  <si>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</si>
  <si>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</si>
  <si>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</si>
  <si>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</si>
  <si>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</si>
  <si>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</si>
  <si>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</si>
  <si>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</si>
  <si>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</si>
  <si>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</si>
  <si>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</si>
  <si>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</si>
  <si>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</si>
  <si>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</si>
  <si>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</si>
  <si>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</si>
  <si>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</si>
  <si>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</si>
  <si>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</si>
  <si>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</si>
  <si>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</si>
  <si>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</si>
  <si>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</si>
  <si>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</si>
  <si>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</si>
  <si>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</si>
  <si>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</si>
  <si>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</si>
  <si>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</si>
  <si>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</si>
  <si>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</si>
  <si>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</si>
  <si>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</si>
  <si>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</si>
  <si>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</si>
  <si>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</si>
  <si>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</si>
  <si>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</si>
  <si>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</si>
  <si>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</si>
  <si>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</si>
  <si>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</si>
  <si>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</si>
  <si>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</si>
  <si>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</si>
  <si>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</si>
  <si>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</si>
  <si>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</si>
  <si>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</si>
  <si>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</si>
  <si>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</si>
  <si>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</si>
  <si>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</si>
  <si>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</si>
  <si>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</si>
  <si>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</si>
  <si>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</si>
  <si>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</si>
  <si>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</si>
  <si>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</si>
  <si>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</si>
  <si>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</si>
  <si>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</si>
  <si>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</si>
  <si>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</si>
  <si>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</si>
  <si>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</si>
  <si>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</si>
  <si>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</si>
  <si>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</si>
  <si>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</si>
  <si>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</si>
  <si>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</si>
  <si>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</si>
  <si>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</si>
  <si>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</si>
  <si>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</si>
  <si>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</si>
  <si>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</si>
  <si>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</si>
  <si>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</si>
  <si>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</si>
  <si>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</si>
  <si>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</si>
  <si>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</si>
  <si>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</si>
  <si>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</si>
  <si>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</si>
  <si>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</si>
  <si>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</si>
  <si>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</si>
  <si>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</si>
  <si>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</si>
  <si>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</si>
  <si>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</si>
  <si>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</si>
  <si>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</si>
  <si>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</si>
  <si>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</si>
  <si>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</si>
  <si>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</si>
  <si>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</si>
  <si>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</si>
  <si>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</si>
  <si>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</si>
  <si>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</si>
  <si>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</si>
  <si>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</si>
  <si>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</si>
  <si>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</si>
  <si>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</si>
  <si>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</si>
  <si>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</si>
  <si>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</si>
  <si>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</si>
  <si>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</si>
  <si>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</si>
  <si>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</si>
  <si>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</si>
  <si>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</si>
  <si>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</si>
  <si>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</si>
  <si>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</si>
  <si>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</si>
  <si>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</si>
  <si>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</si>
  <si>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</si>
  <si>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</si>
  <si>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</si>
  <si>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</si>
  <si>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</si>
  <si>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</si>
  <si>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</si>
  <si>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</si>
  <si>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</si>
  <si>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</si>
  <si>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</si>
  <si>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</si>
  <si>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</si>
  <si>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</si>
  <si>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</si>
  <si>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</si>
  <si>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</si>
  <si>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</si>
  <si>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</si>
  <si>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</si>
  <si>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</si>
  <si>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</si>
  <si>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</si>
  <si>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</si>
  <si>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</si>
  <si>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</si>
  <si>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</si>
  <si>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</si>
  <si>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</si>
  <si>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</si>
  <si>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</si>
  <si>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</si>
  <si>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</si>
  <si>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</si>
  <si>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</si>
  <si>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</si>
  <si>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</si>
  <si>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</si>
  <si>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</si>
  <si>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</si>
  <si>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</si>
  <si>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</si>
  <si>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</si>
  <si>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</si>
  <si>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</si>
  <si>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</si>
  <si>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</si>
  <si>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</si>
  <si>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</si>
  <si>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</si>
  <si>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</si>
  <si>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</si>
  <si>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</si>
  <si>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</si>
  <si>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</si>
  <si>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</si>
  <si>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</si>
  <si>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</si>
  <si>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</si>
  <si>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</si>
  <si>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</si>
  <si>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</si>
  <si>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</si>
  <si>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</si>
  <si>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</si>
  <si>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</si>
  <si>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</si>
  <si>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</si>
  <si>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</si>
  <si>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</si>
  <si>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</si>
  <si>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</si>
  <si>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</si>
  <si>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</si>
  <si>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</si>
  <si>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</si>
  <si>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</si>
  <si>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</si>
  <si>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</si>
  <si>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</si>
  <si>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</si>
  <si>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</si>
  <si>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</si>
  <si>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</si>
  <si>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</si>
  <si>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</si>
  <si>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</si>
  <si>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</si>
  <si>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</si>
  <si>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</si>
  <si>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</si>
  <si>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</si>
  <si>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</si>
  <si>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</si>
  <si>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</si>
  <si>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</si>
  <si>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</si>
  <si>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</si>
  <si>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</si>
  <si>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</si>
  <si>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</si>
  <si>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</si>
  <si>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</si>
  <si>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</si>
  <si>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</si>
  <si>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</si>
  <si>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</si>
  <si>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</si>
  <si>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</si>
  <si>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</si>
  <si>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</si>
  <si>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</si>
  <si>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</si>
  <si>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</si>
  <si>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</si>
  <si>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</si>
  <si>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</si>
  <si>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</si>
  <si>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</si>
  <si>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</si>
  <si>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</si>
  <si>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</si>
  <si>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</si>
  <si>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</si>
  <si>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</si>
  <si>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</si>
  <si>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</si>
  <si>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</si>
  <si>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</si>
  <si>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</si>
  <si>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</si>
  <si>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</si>
  <si>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</si>
  <si>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</si>
  <si>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</si>
  <si>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</si>
  <si>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</si>
  <si>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</si>
  <si>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</si>
  <si>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</si>
  <si>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</si>
  <si>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</si>
  <si>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</si>
  <si>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</si>
  <si>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</si>
  <si>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</si>
  <si>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</si>
  <si>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</si>
  <si>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</si>
  <si>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</si>
  <si>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</si>
  <si>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</si>
  <si>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</si>
  <si>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</si>
  <si>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</si>
  <si>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</si>
  <si>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</si>
  <si>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</si>
  <si>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</si>
  <si>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</si>
  <si>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</si>
  <si>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</si>
  <si>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</si>
  <si>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</si>
  <si>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</si>
  <si>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</si>
  <si>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</si>
  <si>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</si>
  <si>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</si>
  <si>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</si>
  <si>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</si>
  <si>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</si>
  <si>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</si>
  <si>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</si>
  <si>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</si>
  <si>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</si>
  <si>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</si>
  <si>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</si>
  <si>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</si>
  <si>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</si>
  <si>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</si>
  <si>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</si>
  <si>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</si>
  <si>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</si>
  <si>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</si>
  <si>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</si>
  <si>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</si>
  <si>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</si>
  <si>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</si>
  <si>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</si>
  <si>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</si>
  <si>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</si>
  <si>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</si>
  <si>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</si>
  <si>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</si>
  <si>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</si>
  <si>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</si>
  <si>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</si>
  <si>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</si>
  <si>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</si>
  <si>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</si>
  <si>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</si>
  <si>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</si>
  <si>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</si>
  <si>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</si>
  <si>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</si>
  <si>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</si>
  <si>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</si>
  <si>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</si>
  <si>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</si>
  <si>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</si>
  <si>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</si>
  <si>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</si>
  <si>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</si>
  <si>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</si>
  <si>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</si>
  <si>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</si>
  <si>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</si>
  <si>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</si>
  <si>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</si>
  <si>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</si>
  <si>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</si>
  <si>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</si>
  <si>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</si>
  <si>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</si>
  <si>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</si>
  <si>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</si>
  <si>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</si>
  <si>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</si>
  <si>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</si>
  <si>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</si>
  <si>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</si>
  <si>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</si>
  <si>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</si>
  <si>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</si>
  <si>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</si>
  <si>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</si>
  <si>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</si>
  <si>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</si>
  <si>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</si>
  <si>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</si>
  <si>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</si>
  <si>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</si>
  <si>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</si>
  <si>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</si>
  <si>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</si>
  <si>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</si>
  <si>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</si>
  <si>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</si>
  <si>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</si>
  <si>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</si>
  <si>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</si>
  <si>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</si>
  <si>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</si>
  <si>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</si>
  <si>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</si>
  <si>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</si>
  <si>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</si>
  <si>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</si>
  <si>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</si>
  <si>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</si>
  <si>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</si>
  <si>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</si>
  <si>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</si>
  <si>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</si>
  <si>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</si>
  <si>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</si>
  <si>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</si>
  <si>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</si>
  <si>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</si>
  <si>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</si>
  <si>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</si>
  <si>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</si>
  <si>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</si>
  <si>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</si>
  <si>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</si>
  <si>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</si>
  <si>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</si>
  <si>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</si>
  <si>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</si>
  <si>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</si>
  <si>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</si>
  <si>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</si>
  <si>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</si>
  <si>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</si>
  <si>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</si>
  <si>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</si>
  <si>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</si>
  <si>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</si>
  <si>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</si>
  <si>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</si>
  <si>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</si>
  <si>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</si>
  <si>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</si>
  <si>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</si>
  <si>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</si>
  <si>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</si>
  <si>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</si>
  <si>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</si>
  <si>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</si>
  <si>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</si>
  <si>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</si>
  <si>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</si>
  <si>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</si>
  <si>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</si>
  <si>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</si>
  <si>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</si>
  <si>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</si>
  <si>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</si>
  <si>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</si>
  <si>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</si>
  <si>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</si>
  <si>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</si>
  <si>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</si>
  <si>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</si>
  <si>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</si>
  <si>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</si>
  <si>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</si>
  <si>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</si>
  <si>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</si>
  <si>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</si>
  <si>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</si>
  <si>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</si>
  <si>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</si>
  <si>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</si>
  <si>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</si>
  <si>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</si>
  <si>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</si>
  <si>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</si>
  <si>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</si>
  <si>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</si>
  <si>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</si>
  <si>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</si>
  <si>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</si>
  <si>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</si>
  <si>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</si>
  <si>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</si>
  <si>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</si>
  <si>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</si>
  <si>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</si>
  <si>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</si>
  <si>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</si>
  <si>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</si>
  <si>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</si>
  <si>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</si>
  <si>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</si>
  <si>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</si>
  <si>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</si>
  <si>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</si>
  <si>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</si>
  <si>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</si>
  <si>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</si>
  <si>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</si>
  <si>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</si>
  <si>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</si>
  <si>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</si>
  <si>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</si>
  <si>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</si>
  <si>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</si>
  <si>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</si>
  <si>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</si>
  <si>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</si>
  <si>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</si>
  <si>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</si>
  <si>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</si>
  <si>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</si>
  <si>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</si>
  <si>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</si>
  <si>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</si>
  <si>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</si>
  <si>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</si>
  <si>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</si>
  <si>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</si>
  <si>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</si>
  <si>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</si>
  <si>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</si>
  <si>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</si>
  <si>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</si>
  <si>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</si>
  <si>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</si>
  <si>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</si>
  <si>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</si>
  <si>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</si>
  <si>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</si>
  <si>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</si>
  <si>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</si>
  <si>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</si>
  <si>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</si>
  <si>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</si>
  <si>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</si>
  <si>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</si>
  <si>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</si>
  <si>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</si>
  <si>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</si>
  <si>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</si>
  <si>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</si>
  <si>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</si>
  <si>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</si>
  <si>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</si>
  <si>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</si>
  <si>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</si>
  <si>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</si>
  <si>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</si>
  <si>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</si>
  <si>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</si>
  <si>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</si>
  <si>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</si>
  <si>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</si>
  <si>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</si>
  <si>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</si>
  <si>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</si>
  <si>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</si>
  <si>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</si>
  <si>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</si>
  <si>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</si>
  <si>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</si>
  <si>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</si>
  <si>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</si>
  <si>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</si>
  <si>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</si>
  <si>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</si>
  <si>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</si>
  <si>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</si>
  <si>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</si>
  <si>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</si>
  <si>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</si>
  <si>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</si>
  <si>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</si>
  <si>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</si>
  <si>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</si>
  <si>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</si>
  <si>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</si>
  <si>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</si>
  <si>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</si>
  <si>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</si>
  <si>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</si>
  <si>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</si>
  <si>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</si>
  <si>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</si>
  <si>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</si>
  <si>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</si>
  <si>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</si>
  <si>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</si>
  <si>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</si>
  <si>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</si>
  <si>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</si>
  <si>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</si>
  <si>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</si>
  <si>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</si>
  <si>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</si>
  <si>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</si>
  <si>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</si>
  <si>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</si>
  <si>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</si>
  <si>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</si>
  <si>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</si>
  <si>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</si>
  <si>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</si>
  <si>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</si>
  <si>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</si>
  <si>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</si>
  <si>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</si>
  <si>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</si>
  <si>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</si>
  <si>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</si>
  <si>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</si>
  <si>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</si>
  <si>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</si>
  <si>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</si>
  <si>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</si>
  <si>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</si>
  <si>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</si>
  <si>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</si>
  <si>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</si>
  <si>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</si>
  <si>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</si>
  <si>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</si>
  <si>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</si>
  <si>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</si>
  <si>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</si>
  <si>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</si>
  <si>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</si>
  <si>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</si>
  <si>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</si>
  <si>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</si>
  <si>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</si>
  <si>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</si>
  <si>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</si>
  <si>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</si>
  <si>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</si>
  <si>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</si>
  <si>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</si>
  <si>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</si>
  <si>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</si>
  <si>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</si>
  <si>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</si>
  <si>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</si>
  <si>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</si>
  <si>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</si>
  <si>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</si>
  <si>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</si>
  <si>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</si>
  <si>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</si>
  <si>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</si>
  <si>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</si>
  <si>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</si>
  <si>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</si>
  <si>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</si>
  <si>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</si>
  <si>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</si>
  <si>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</si>
  <si>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</si>
  <si>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</si>
  <si>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</si>
  <si>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</si>
  <si>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</si>
  <si>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</si>
  <si>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</si>
  <si>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</si>
  <si>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</si>
  <si>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</si>
  <si>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</si>
  <si>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</si>
  <si>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</si>
  <si>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</si>
  <si>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</si>
  <si>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</si>
  <si>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</si>
  <si>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</si>
  <si>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</si>
  <si>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</si>
  <si>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</si>
  <si>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</si>
  <si>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</si>
  <si>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</si>
  <si>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</si>
  <si>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</si>
  <si>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</si>
  <si>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</si>
  <si>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</si>
  <si>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</si>
  <si>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</si>
  <si>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</si>
  <si>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</si>
  <si>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</si>
  <si>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</si>
  <si>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</si>
  <si>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</si>
  <si>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</si>
  <si>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</si>
  <si>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</si>
  <si>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</si>
  <si>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</si>
  <si>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</si>
  <si>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</si>
  <si>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</si>
  <si>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</si>
  <si>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</si>
  <si>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</si>
  <si>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</si>
  <si>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</si>
  <si>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</si>
  <si>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</si>
  <si>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</si>
  <si>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</si>
  <si>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</si>
  <si>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</si>
  <si>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</si>
  <si>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</si>
  <si>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</si>
  <si>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</si>
  <si>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</si>
  <si>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</si>
  <si>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</si>
  <si>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</si>
  <si>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</si>
  <si>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</si>
  <si>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</si>
  <si>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</si>
  <si>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</si>
  <si>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</si>
  <si>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</si>
  <si>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</si>
  <si>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</si>
  <si>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</si>
  <si>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</si>
  <si>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</si>
  <si>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</si>
  <si>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</si>
  <si>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</si>
  <si>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</si>
  <si>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</si>
  <si>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</si>
  <si>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</si>
  <si>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</si>
  <si>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</si>
  <si>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</si>
  <si>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</si>
  <si>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</si>
  <si>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</si>
  <si>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</si>
  <si>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</si>
  <si>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</si>
  <si>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</si>
  <si>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</si>
  <si>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</si>
  <si>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</si>
  <si>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</si>
  <si>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</si>
  <si>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</si>
  <si>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</si>
  <si>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</si>
  <si>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</si>
  <si>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</si>
  <si>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</si>
  <si>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</si>
  <si>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</si>
  <si>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</si>
  <si>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</si>
  <si>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</si>
  <si>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</si>
  <si>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</si>
  <si>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</si>
  <si>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</si>
  <si>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</si>
  <si>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</si>
  <si>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</si>
  <si>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</si>
  <si>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</si>
  <si>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</si>
  <si>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</si>
  <si>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</si>
  <si>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</si>
  <si>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</si>
  <si>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</si>
  <si>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</si>
  <si>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</si>
  <si>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</si>
  <si>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</si>
  <si>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</si>
  <si>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</si>
  <si>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</si>
  <si>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</si>
  <si>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</si>
  <si>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</si>
  <si>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</si>
  <si>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</si>
  <si>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</si>
  <si>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</si>
  <si>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</si>
  <si>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</si>
  <si>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</si>
  <si>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</si>
  <si>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</si>
  <si>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</si>
  <si>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</si>
  <si>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</si>
  <si>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</si>
  <si>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</si>
  <si>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</si>
  <si>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</si>
  <si>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</si>
  <si>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</si>
  <si>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</si>
  <si>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</si>
  <si>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</si>
  <si>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</si>
  <si>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</si>
  <si>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</si>
  <si>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</si>
  <si>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</si>
  <si>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</si>
  <si>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</si>
  <si>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</si>
  <si>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</si>
  <si>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</si>
  <si>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</si>
  <si>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</si>
  <si>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</si>
  <si>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</si>
  <si>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</si>
  <si>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</si>
  <si>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</si>
  <si>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</si>
  <si>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</si>
  <si>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</si>
  <si>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</si>
  <si>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</si>
  <si>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</si>
  <si>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</si>
  <si>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</si>
  <si>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</si>
  <si>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</si>
  <si>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</si>
  <si>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</si>
  <si>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</si>
  <si>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</si>
  <si>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</si>
  <si>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</si>
  <si>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</si>
  <si>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</si>
  <si>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</si>
  <si>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</si>
  <si>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</si>
  <si>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</si>
  <si>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</si>
  <si>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</si>
  <si>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</si>
  <si>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</si>
  <si>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</si>
  <si>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</si>
  <si>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</si>
  <si>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</si>
  <si>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</si>
  <si>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</si>
  <si>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</si>
  <si>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</si>
  <si>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</si>
  <si>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</si>
  <si>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</si>
  <si>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</si>
  <si>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</si>
  <si>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</si>
  <si>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</si>
  <si>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</si>
  <si>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</si>
  <si>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</si>
  <si>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</si>
  <si>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</si>
  <si>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</si>
  <si>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</si>
  <si>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</si>
  <si>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</si>
  <si>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</si>
  <si>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</si>
  <si>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</si>
  <si>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</si>
  <si>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</si>
  <si>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</si>
  <si>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</si>
  <si>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</si>
  <si>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</si>
  <si>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</si>
  <si>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</si>
  <si>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</si>
  <si>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</si>
  <si>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</si>
  <si>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</si>
  <si>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</si>
  <si>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</si>
  <si>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</si>
  <si>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</si>
  <si>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</si>
  <si>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</si>
  <si>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</si>
  <si>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</si>
  <si>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</si>
  <si>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</si>
  <si>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</si>
  <si>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</si>
  <si>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</si>
  <si>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</si>
  <si>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</si>
  <si>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</si>
  <si>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</si>
  <si>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</si>
  <si>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</si>
  <si>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</si>
  <si>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</si>
  <si>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</si>
  <si>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</si>
  <si>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</si>
  <si>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</si>
  <si>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</si>
  <si>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</si>
  <si>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</si>
  <si>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</si>
  <si>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</si>
  <si>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</si>
  <si>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</si>
  <si>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</si>
  <si>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</si>
  <si>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</si>
  <si>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</si>
  <si>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</si>
  <si>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</si>
  <si>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</si>
  <si>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</si>
  <si>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</si>
  <si>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</si>
  <si>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</si>
  <si>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</si>
  <si>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</si>
  <si>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</si>
  <si>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</si>
  <si>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</si>
  <si>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</si>
  <si>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</si>
  <si>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</si>
  <si>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</si>
  <si>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</si>
  <si>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</si>
  <si>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</si>
  <si>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</si>
  <si>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</si>
  <si>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</si>
  <si>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</si>
  <si>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</si>
  <si>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</si>
  <si>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</si>
  <si>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</si>
  <si>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</si>
  <si>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</si>
  <si>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</si>
  <si>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</si>
  <si>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</si>
  <si>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</si>
  <si>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</si>
  <si>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</si>
  <si>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</si>
  <si>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</si>
  <si>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</si>
  <si>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</si>
  <si>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</si>
  <si>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</si>
  <si>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</si>
  <si>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</si>
  <si>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</si>
  <si>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</si>
  <si>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</si>
  <si>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</si>
  <si>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</si>
  <si>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</si>
  <si>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</si>
  <si>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</si>
  <si>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</si>
  <si>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</si>
  <si>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</si>
  <si>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</si>
  <si>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</si>
  <si>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</si>
  <si>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</si>
  <si>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</si>
  <si>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</si>
  <si>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</si>
  <si>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</si>
  <si>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</si>
  <si>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</si>
  <si>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</si>
  <si>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</si>
  <si>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</si>
  <si>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</si>
  <si>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</si>
  <si>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</si>
  <si>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</si>
  <si>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</si>
  <si>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</si>
  <si>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</si>
  <si>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</si>
  <si>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</si>
  <si>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</si>
  <si>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</si>
  <si>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</si>
  <si>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</si>
  <si>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</si>
  <si>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</si>
  <si>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</si>
  <si>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</si>
  <si>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</si>
  <si>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</si>
  <si>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</si>
  <si>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</si>
  <si>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</si>
  <si>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</si>
  <si>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</si>
  <si>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</si>
  <si>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</si>
  <si>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</si>
  <si>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</si>
  <si>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</si>
  <si>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</si>
  <si>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</si>
  <si>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</si>
  <si>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</si>
  <si>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</si>
  <si>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</si>
  <si>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</si>
  <si>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</si>
  <si>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</si>
  <si>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</si>
  <si>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</si>
  <si>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</si>
  <si>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</si>
  <si>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</si>
  <si>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</si>
  <si>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</si>
  <si>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</si>
  <si>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</si>
  <si>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</si>
  <si>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</si>
  <si>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</si>
  <si>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</si>
  <si>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</si>
  <si>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</si>
  <si>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</si>
  <si>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</si>
  <si>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</si>
  <si>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</si>
  <si>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</si>
  <si>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</si>
  <si>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</si>
  <si>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</si>
  <si>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</si>
  <si>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</si>
  <si>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</si>
  <si>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</si>
  <si>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</si>
  <si>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</si>
  <si>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</si>
  <si>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</si>
  <si>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</si>
  <si>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</si>
  <si>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</si>
  <si>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</si>
  <si>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</si>
  <si>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</si>
  <si>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</si>
  <si>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</si>
  <si>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</si>
  <si>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</si>
  <si>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</si>
  <si>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</si>
  <si>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</si>
  <si>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</si>
  <si>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</si>
  <si>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</si>
  <si>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</si>
  <si>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</si>
  <si>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</si>
  <si>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</si>
  <si>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</si>
  <si>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</si>
  <si>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</si>
  <si>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</si>
  <si>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</si>
  <si>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</si>
  <si>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</si>
  <si>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</si>
  <si>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</si>
  <si>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</si>
  <si>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</si>
  <si>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</si>
  <si>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</si>
  <si>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</si>
  <si>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</si>
  <si>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</si>
  <si>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</si>
  <si>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</si>
  <si>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</si>
  <si>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</si>
  <si>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</si>
  <si>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</si>
  <si>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</si>
  <si>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</si>
  <si>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</si>
  <si>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</si>
  <si>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</si>
  <si>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</si>
  <si>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</si>
  <si>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</si>
  <si>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</si>
  <si>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</si>
  <si>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</si>
  <si>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</si>
  <si>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</si>
  <si>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</si>
  <si>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</si>
  <si>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</si>
  <si>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</si>
  <si>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</si>
  <si>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</si>
  <si>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</si>
  <si>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</si>
  <si>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</si>
  <si>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</si>
  <si>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</si>
  <si>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</si>
  <si>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</si>
  <si>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</si>
  <si>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</si>
  <si>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</si>
  <si>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</si>
  <si>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</si>
  <si>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</si>
  <si>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</si>
  <si>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</si>
  <si>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</si>
  <si>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</si>
  <si>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</si>
  <si>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</si>
  <si>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</si>
  <si>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</si>
  <si>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</si>
  <si>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</si>
  <si>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</si>
  <si>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</si>
  <si>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</si>
  <si>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</si>
  <si>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</si>
  <si>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</si>
  <si>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</si>
  <si>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</si>
  <si>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</si>
  <si>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</si>
  <si>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</si>
  <si>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</si>
  <si>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</si>
  <si>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</si>
  <si>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</si>
  <si>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</si>
  <si>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</si>
  <si>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</si>
  <si>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</si>
  <si>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</si>
  <si>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</si>
  <si>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</si>
  <si>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</si>
  <si>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</si>
  <si>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</si>
  <si>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</si>
  <si>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</si>
  <si>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</si>
  <si>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</si>
  <si>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</si>
  <si>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</si>
  <si>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</si>
  <si>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</si>
  <si>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</si>
  <si>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</si>
  <si>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</si>
  <si>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</si>
  <si>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</si>
  <si>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</si>
  <si>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</si>
  <si>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</si>
  <si>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</si>
  <si>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</si>
  <si>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</si>
  <si>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</si>
  <si>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</si>
  <si>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</si>
  <si>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</si>
  <si>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</si>
  <si>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</si>
  <si>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</si>
  <si>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</si>
  <si>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</si>
  <si>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</si>
  <si>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</si>
  <si>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</si>
  <si>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</si>
  <si>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</si>
  <si>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</si>
  <si>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</si>
  <si>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</si>
  <si>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</si>
  <si>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</si>
  <si>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</si>
  <si>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</si>
  <si>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</si>
  <si>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</si>
  <si>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</si>
  <si>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</si>
  <si>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</si>
  <si>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</si>
  <si>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</si>
  <si>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</si>
  <si>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</si>
  <si>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</si>
  <si>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</si>
  <si>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</si>
  <si>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</si>
  <si>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</si>
  <si>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</si>
  <si>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</si>
  <si>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</si>
  <si>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</si>
  <si>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</si>
  <si>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</si>
  <si>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</si>
  <si>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</si>
  <si>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</si>
  <si>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</si>
  <si>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</si>
  <si>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</si>
  <si>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</si>
  <si>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</si>
  <si>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</si>
  <si>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</si>
  <si>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</si>
  <si>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</si>
  <si>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</si>
  <si>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</si>
  <si>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</si>
  <si>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</si>
  <si>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</si>
  <si>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</si>
  <si>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</si>
  <si>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</si>
  <si>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</si>
  <si>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</si>
  <si>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</si>
  <si>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</si>
  <si>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</si>
  <si>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</si>
  <si>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</si>
  <si>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</si>
  <si>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</si>
  <si>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</si>
  <si>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</si>
  <si>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</si>
  <si>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</si>
  <si>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</si>
  <si>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</si>
  <si>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</si>
  <si>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</si>
  <si>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</si>
  <si>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</si>
  <si>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</si>
  <si>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</si>
  <si>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</si>
  <si>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</si>
  <si>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</si>
  <si>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</si>
  <si>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</si>
  <si>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</si>
  <si>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</si>
  <si>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</si>
  <si>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</si>
  <si>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</si>
  <si>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</si>
  <si>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</si>
  <si>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</si>
  <si>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</si>
  <si>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</si>
  <si>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</si>
  <si>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</si>
  <si>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</si>
  <si>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</si>
  <si>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</si>
  <si>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</si>
  <si>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</si>
  <si>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</si>
  <si>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</si>
  <si>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</si>
  <si>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</si>
  <si>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</si>
  <si>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</si>
  <si>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</si>
  <si>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</si>
  <si>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</si>
  <si>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</si>
  <si>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</si>
  <si>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</si>
  <si>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</si>
  <si>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</si>
  <si>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</si>
  <si>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</si>
  <si>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</si>
  <si>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</si>
  <si>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</si>
  <si>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</si>
  <si>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</si>
  <si>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</si>
  <si>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</si>
  <si>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</si>
  <si>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</si>
  <si>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</si>
  <si>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</si>
  <si>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</si>
  <si>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</si>
  <si>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</si>
  <si>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</si>
  <si>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</si>
  <si>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</si>
  <si>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</si>
  <si>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</si>
  <si>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</si>
  <si>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</si>
  <si>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</si>
  <si>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</si>
  <si>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</si>
  <si>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</si>
  <si>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</si>
  <si>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</si>
  <si>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</si>
  <si>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</si>
  <si>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</si>
  <si>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</si>
  <si>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</si>
  <si>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</si>
  <si>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</si>
  <si>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</si>
  <si>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</si>
  <si>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</si>
  <si>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</si>
  <si>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</si>
  <si>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</si>
  <si>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</si>
  <si>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</si>
  <si>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</si>
  <si>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</si>
  <si>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</si>
  <si>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</si>
  <si>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</si>
  <si>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</si>
  <si>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</si>
  <si>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</si>
  <si>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</si>
  <si>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</si>
  <si>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</si>
  <si>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</si>
  <si>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</si>
  <si>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</si>
  <si>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</si>
  <si>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</si>
  <si>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</si>
  <si>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</si>
  <si>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</si>
  <si>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</si>
  <si>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</si>
  <si>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</si>
  <si>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</si>
  <si>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</si>
  <si>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</si>
  <si>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</si>
  <si>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</si>
  <si>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</si>
  <si>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</si>
  <si>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</si>
  <si>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</si>
  <si>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</si>
  <si>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</si>
  <si>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</si>
  <si>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</si>
  <si>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</si>
  <si>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</si>
  <si>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</si>
  <si>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</si>
  <si>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</si>
  <si>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</si>
  <si>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</si>
  <si>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</si>
  <si>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</si>
  <si>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</si>
  <si>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</si>
  <si>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</si>
  <si>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</si>
  <si>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</si>
  <si>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</si>
  <si>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</si>
  <si>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</si>
  <si>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</si>
  <si>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</si>
  <si>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</si>
  <si>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</si>
  <si>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</si>
  <si>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</si>
  <si>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</si>
  <si>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</si>
  <si>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</si>
  <si>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</si>
  <si>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</si>
  <si>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</si>
  <si>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</si>
  <si>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</si>
  <si>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</si>
  <si>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</si>
  <si>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</si>
  <si>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</si>
  <si>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</si>
  <si>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</si>
  <si>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</si>
  <si>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</si>
  <si>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</si>
  <si>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</si>
  <si>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</si>
  <si>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</si>
  <si>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</si>
  <si>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</si>
  <si>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</si>
  <si>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</si>
  <si>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</si>
  <si>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</si>
  <si>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</si>
  <si>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</si>
  <si>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</si>
  <si>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</si>
  <si>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</si>
  <si>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</si>
  <si>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</si>
  <si>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</si>
  <si>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</si>
  <si>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</si>
  <si>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</si>
  <si>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</si>
  <si>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</si>
  <si>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</si>
  <si>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</si>
  <si>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</si>
  <si>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</si>
  <si>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</si>
  <si>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</si>
  <si>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</si>
  <si>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</si>
  <si>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</si>
  <si>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</si>
  <si>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</si>
  <si>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</si>
  <si>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</si>
  <si>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</si>
  <si>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</si>
  <si>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</si>
  <si>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</si>
  <si>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</si>
  <si>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</si>
  <si>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</si>
  <si>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</si>
  <si>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</si>
  <si>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</si>
  <si>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</si>
  <si>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</si>
  <si>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</si>
  <si>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</si>
  <si>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</si>
  <si>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</si>
  <si>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</si>
  <si>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</si>
  <si>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</si>
  <si>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</si>
  <si>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</si>
  <si>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</si>
  <si>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</si>
  <si>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</si>
  <si>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</si>
  <si>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</si>
  <si>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</si>
  <si>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</si>
  <si>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</si>
  <si>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</si>
  <si>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</si>
  <si>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</si>
  <si>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</si>
  <si>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</si>
  <si>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</si>
  <si>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</si>
  <si>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</si>
  <si>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</si>
  <si>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</si>
  <si>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</si>
  <si>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</si>
  <si>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</si>
  <si>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</si>
  <si>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</si>
  <si>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</si>
  <si>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</si>
  <si>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</si>
  <si>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</si>
  <si>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</si>
  <si>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</si>
  <si>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</si>
  <si>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</si>
  <si>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</si>
  <si>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</si>
  <si>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</si>
  <si>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</si>
  <si>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</si>
  <si>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</si>
  <si>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</si>
  <si>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</si>
  <si>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</si>
  <si>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</si>
  <si>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</si>
  <si>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</si>
  <si>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</si>
  <si>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</si>
  <si>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</si>
  <si>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</si>
  <si>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</si>
  <si>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</si>
  <si>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</si>
  <si>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</si>
  <si>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</si>
  <si>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</si>
  <si>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</si>
  <si>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</si>
  <si>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</si>
  <si>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</si>
  <si>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</si>
  <si>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</si>
  <si>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</si>
  <si>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</si>
  <si>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</si>
  <si>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</si>
  <si>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</si>
  <si>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</si>
  <si>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</si>
  <si>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</si>
  <si>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</si>
  <si>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</si>
  <si>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</si>
  <si>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</si>
  <si>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</si>
  <si>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</si>
  <si>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</si>
  <si>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</si>
  <si>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</si>
  <si>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</si>
  <si>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</si>
  <si>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</si>
  <si>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</si>
  <si>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</si>
  <si>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</si>
  <si>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</si>
  <si>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</si>
  <si>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</si>
  <si>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</si>
  <si>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</si>
  <si>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</si>
  <si>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</si>
  <si>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</si>
  <si>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</si>
  <si>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</si>
  <si>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</si>
  <si>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</si>
  <si>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</si>
  <si>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</si>
  <si>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</si>
  <si>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</si>
  <si>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</si>
  <si>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</si>
  <si>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</si>
  <si>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</si>
  <si>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</si>
  <si>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</si>
  <si>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</si>
  <si>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</si>
  <si>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</si>
  <si>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</si>
  <si>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</si>
  <si>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</si>
  <si>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</si>
  <si>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</si>
  <si>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</si>
  <si>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</si>
  <si>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</si>
  <si>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</si>
  <si>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</si>
  <si>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</si>
  <si>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</si>
  <si>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</si>
  <si>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</si>
  <si>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</si>
  <si>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</si>
  <si>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</si>
  <si>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</si>
  <si>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</si>
  <si>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</si>
  <si>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</si>
  <si>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</si>
  <si>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</si>
  <si>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</si>
  <si>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</si>
  <si>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</si>
  <si>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</si>
  <si>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</si>
  <si>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</si>
  <si>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</si>
  <si>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</si>
  <si>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</si>
  <si>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</si>
  <si>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</si>
  <si>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</si>
  <si>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</si>
  <si>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</si>
  <si>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</si>
  <si>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</si>
  <si>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</si>
  <si>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</si>
  <si>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</si>
  <si>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</si>
  <si>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</si>
  <si>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</si>
  <si>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</si>
  <si>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</si>
  <si>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</si>
  <si>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</si>
  <si>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</si>
  <si>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</si>
  <si>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</si>
  <si>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</si>
  <si>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</si>
  <si>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</si>
  <si>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</si>
  <si>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</si>
  <si>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</si>
  <si>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</si>
  <si>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</si>
  <si>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</si>
  <si>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</si>
  <si>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</si>
  <si>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</si>
  <si>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</si>
  <si>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</si>
  <si>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</si>
  <si>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</si>
  <si>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</si>
  <si>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</si>
  <si>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</si>
  <si>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</si>
  <si>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</si>
  <si>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</si>
  <si>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</si>
  <si>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</si>
  <si>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</si>
  <si>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</si>
  <si>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</si>
  <si>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</si>
  <si>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</si>
  <si>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</si>
  <si>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</si>
  <si>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</si>
  <si>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</si>
  <si>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</si>
  <si>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</si>
  <si>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</si>
  <si>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</si>
  <si>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</si>
  <si>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</si>
  <si>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</si>
  <si>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</si>
  <si>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</si>
  <si>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</si>
  <si>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</si>
  <si>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</si>
  <si>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</si>
  <si>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</si>
  <si>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</si>
  <si>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</si>
  <si>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</si>
  <si>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</si>
  <si>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</si>
  <si>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</si>
  <si>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</si>
  <si>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</si>
  <si>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</si>
  <si>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</si>
  <si>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</si>
  <si>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</si>
  <si>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</si>
  <si>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</si>
  <si>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</si>
  <si>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</si>
  <si>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</si>
  <si>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</si>
  <si>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</si>
  <si>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</si>
  <si>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</si>
  <si>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</si>
  <si>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</si>
  <si>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</si>
  <si>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</si>
  <si>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</si>
  <si>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</si>
  <si>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</si>
  <si>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</si>
  <si>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</si>
  <si>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</si>
  <si>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</si>
  <si>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</si>
  <si>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</si>
  <si>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</si>
  <si>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</si>
  <si>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</si>
  <si>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</si>
  <si>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</si>
  <si>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</si>
  <si>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</si>
  <si>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</si>
  <si>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</si>
  <si>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</si>
  <si>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</si>
  <si>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</si>
  <si>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</si>
  <si>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</si>
  <si>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</si>
  <si>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</si>
  <si>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</si>
  <si>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</si>
  <si>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</si>
  <si>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</si>
  <si>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</si>
  <si>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</si>
  <si>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</si>
  <si>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</si>
  <si>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</si>
  <si>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</si>
  <si>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</si>
  <si>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</si>
  <si>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</si>
  <si>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</si>
  <si>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</si>
  <si>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</si>
  <si>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</si>
  <si>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</si>
  <si>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</si>
  <si>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</si>
  <si>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</si>
  <si>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</si>
  <si>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</si>
  <si>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</si>
  <si>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</si>
  <si>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</si>
  <si>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</si>
  <si>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</si>
  <si>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</si>
  <si>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</si>
  <si>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</si>
  <si>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</si>
  <si>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</si>
  <si>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</si>
  <si>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</si>
  <si>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</si>
  <si>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</si>
  <si>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</si>
  <si>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</si>
  <si>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</si>
  <si>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</si>
  <si>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</si>
  <si>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</si>
  <si>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</si>
  <si>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</si>
  <si>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</si>
  <si>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</si>
  <si>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</si>
  <si>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</si>
  <si>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</si>
  <si>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</si>
  <si>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</si>
  <si>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</si>
  <si>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</si>
  <si>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</si>
  <si>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</si>
  <si>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</si>
  <si>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</si>
  <si>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</si>
  <si>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</si>
  <si>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</si>
  <si>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</si>
  <si>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</si>
  <si>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</si>
  <si>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</si>
  <si>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</si>
  <si>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</si>
  <si>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</si>
  <si>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</si>
  <si>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</si>
  <si>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</si>
  <si>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</si>
  <si>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</si>
  <si>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</si>
  <si>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</si>
  <si>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</si>
  <si>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</si>
  <si>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</si>
  <si>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</si>
  <si>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</si>
  <si>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</si>
  <si>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</si>
  <si>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</si>
  <si>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</si>
  <si>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</si>
  <si>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</si>
  <si>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</si>
  <si>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</si>
  <si>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</si>
  <si>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</si>
  <si>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</si>
  <si>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</si>
  <si>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</si>
  <si>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</si>
  <si>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</si>
  <si>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</si>
  <si>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</si>
  <si>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</si>
  <si>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</si>
  <si>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</si>
  <si>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</si>
  <si>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</si>
  <si>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</si>
  <si>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</si>
  <si>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</si>
  <si>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</si>
  <si>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</si>
  <si>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</si>
  <si>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</si>
  <si>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</si>
  <si>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</si>
  <si>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</si>
  <si>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</si>
  <si>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</si>
  <si>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</si>
  <si>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</si>
  <si>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</si>
  <si>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</si>
  <si>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</si>
  <si>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</si>
  <si>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</si>
  <si>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</si>
  <si>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</si>
  <si>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</si>
  <si>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</si>
  <si>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</si>
  <si>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</si>
  <si>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</si>
  <si>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</si>
  <si>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</si>
  <si>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</si>
  <si>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</si>
  <si>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</si>
  <si>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</si>
  <si>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</si>
  <si>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</si>
  <si>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</si>
  <si>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</si>
  <si>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</si>
  <si>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</si>
  <si>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</si>
  <si>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</si>
  <si>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</si>
  <si>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</si>
  <si>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</si>
  <si>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</si>
  <si>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</si>
  <si>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</si>
  <si>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</si>
  <si>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</si>
  <si>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</si>
  <si>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</si>
  <si>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</si>
  <si>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</si>
  <si>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</si>
  <si>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</si>
  <si>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</si>
  <si>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</si>
  <si>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</si>
  <si>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</si>
  <si>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</si>
  <si>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</si>
  <si>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</si>
  <si>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</si>
  <si>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</si>
  <si>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</si>
  <si>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</si>
  <si>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</si>
  <si>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</si>
  <si>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</si>
  <si>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</si>
  <si>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</si>
  <si>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</si>
  <si>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</si>
  <si>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</si>
  <si>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</si>
  <si>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</si>
  <si>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</si>
  <si>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</si>
  <si>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</si>
  <si>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</si>
  <si>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</si>
  <si>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</si>
  <si>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</si>
  <si>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</si>
  <si>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</si>
  <si>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</si>
  <si>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</si>
  <si>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</si>
  <si>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</si>
  <si>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</si>
  <si>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</si>
  <si>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</si>
  <si>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</si>
  <si>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</si>
  <si>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</si>
  <si>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</si>
  <si>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</si>
  <si>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</si>
  <si>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</si>
  <si>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</si>
  <si>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</si>
  <si>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</si>
  <si>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</si>
  <si>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</si>
  <si>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</si>
  <si>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</si>
  <si>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</si>
  <si>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</si>
  <si>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</si>
  <si>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</si>
  <si>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</si>
  <si>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</si>
  <si>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</si>
  <si>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</si>
  <si>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</si>
  <si>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</si>
  <si>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</si>
  <si>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</si>
  <si>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</si>
  <si>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</si>
  <si>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</si>
  <si>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</si>
  <si>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</si>
  <si>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</si>
  <si>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</si>
  <si>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</si>
  <si>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</si>
  <si>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</si>
  <si>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</si>
  <si>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</si>
  <si>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</si>
  <si>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</si>
  <si>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</si>
  <si>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</si>
  <si>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</si>
  <si>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</si>
  <si>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</si>
  <si>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</si>
  <si>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</si>
  <si>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</si>
  <si>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</si>
  <si>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</si>
  <si>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</si>
  <si>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</si>
  <si>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</si>
  <si>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</si>
  <si>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</si>
  <si>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</si>
  <si>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</si>
  <si>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</si>
  <si>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</si>
  <si>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</si>
  <si>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</si>
  <si>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</si>
  <si>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</si>
  <si>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</si>
  <si>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</si>
  <si>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</si>
  <si>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</si>
  <si>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</si>
  <si>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</si>
  <si>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</si>
  <si>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</si>
  <si>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</si>
  <si>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</si>
  <si>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</si>
  <si>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</si>
  <si>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</si>
  <si>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</si>
  <si>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</si>
  <si>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</si>
  <si>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</si>
  <si>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</si>
  <si>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</si>
  <si>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</si>
  <si>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</si>
  <si>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</si>
  <si>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</si>
  <si>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</si>
  <si>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</si>
  <si>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</si>
  <si>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</si>
  <si>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</si>
  <si>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</si>
  <si>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</si>
  <si>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</si>
  <si>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</si>
  <si>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</si>
  <si>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</si>
  <si>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</si>
  <si>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</si>
  <si>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</si>
  <si>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</si>
  <si>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</si>
  <si>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</si>
  <si>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</si>
  <si>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</si>
  <si>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</si>
  <si>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</si>
  <si>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</si>
  <si>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</si>
  <si>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</si>
  <si>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</si>
  <si>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</si>
  <si>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</si>
  <si>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</si>
  <si>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</si>
  <si>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</si>
  <si>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</si>
  <si>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</si>
  <si>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</si>
  <si>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</si>
  <si>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</si>
  <si>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</si>
  <si>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</si>
  <si>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</si>
  <si>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</si>
  <si>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</si>
  <si>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</si>
  <si>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</si>
  <si>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</si>
  <si>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</si>
  <si>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</si>
  <si>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</si>
  <si>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</si>
  <si>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</si>
  <si>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</si>
  <si>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</si>
  <si>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</si>
  <si>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</si>
  <si>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</si>
  <si>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</si>
  <si>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</si>
  <si>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</si>
  <si>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پتروآگاه حساب فرنیا</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</si>
  <si>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</si>
  <si>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</si>
  <si>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</si>
  <si>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</si>
  <si>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</si>
  <si>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</si>
  <si>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</si>
  <si>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</si>
  <si>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</si>
  <si>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</si>
  <si>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</si>
  <si>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</si>
  <si>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</si>
  <si>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</si>
  <si>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</si>
  <si>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</si>
  <si>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</si>
  <si>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</si>
  <si>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</si>
  <si>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</si>
  <si>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</si>
  <si>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ضستا4007</t>
  </si>
  <si>
    <t>شتران</t>
  </si>
  <si>
    <t>27/1/1402</t>
  </si>
  <si>
    <t>ضستا1220</t>
  </si>
  <si>
    <t>شستا حساب فرنیا</t>
  </si>
  <si>
    <t>شستا حساب ایلیا</t>
  </si>
  <si>
    <t>29/1/1402</t>
  </si>
  <si>
    <t>ضترو4006  14/4/1402</t>
  </si>
  <si>
    <t>ضستا4007  14/4/1402</t>
  </si>
  <si>
    <t>ضستا1220  9/12/1402</t>
  </si>
  <si>
    <t>30/1/1402</t>
  </si>
  <si>
    <t>سارا واریز جدید</t>
  </si>
  <si>
    <t>واریز جدید</t>
  </si>
  <si>
    <t>علی خروج سود وسپه مریم و علی و ایلیا</t>
  </si>
  <si>
    <t>نسبت سود به قیمت</t>
  </si>
  <si>
    <t>ضستا4010 14/4/1402</t>
  </si>
  <si>
    <t>11/2/1402</t>
  </si>
  <si>
    <t>حاج خانوم پارچه رو مبلی</t>
  </si>
  <si>
    <t>حاج خانوم پارچه رو مبل</t>
  </si>
  <si>
    <t>12/2/1402</t>
  </si>
  <si>
    <t>فیروزه</t>
  </si>
  <si>
    <t>13/2/1402</t>
  </si>
  <si>
    <t>13/2/1401</t>
  </si>
  <si>
    <t>ضستا6014 8/6/1402</t>
  </si>
  <si>
    <t>ضستا6014</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</si>
  <si>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</si>
  <si>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</si>
  <si>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</si>
  <si>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</si>
  <si>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</si>
  <si>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</si>
  <si>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</si>
  <si>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</si>
  <si>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</si>
  <si>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</si>
  <si>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</si>
  <si>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</si>
  <si>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</si>
  <si>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</si>
  <si>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</si>
  <si>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</si>
  <si>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</si>
  <si>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</si>
  <si>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</si>
  <si>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</si>
  <si>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</si>
  <si>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</si>
  <si>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</si>
  <si>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</si>
  <si>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</si>
  <si>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</si>
  <si>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</si>
  <si>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</si>
  <si>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</si>
  <si>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</si>
  <si>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</si>
  <si>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</si>
  <si>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</si>
  <si>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</si>
  <si>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</si>
  <si>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</si>
  <si>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</si>
  <si>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</si>
  <si>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</si>
  <si>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</si>
  <si>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</si>
  <si>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</si>
  <si>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</si>
  <si>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</si>
  <si>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</si>
  <si>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</si>
  <si>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</si>
  <si>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</si>
  <si>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</si>
  <si>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</si>
  <si>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</si>
  <si>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</si>
  <si>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</si>
  <si>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</si>
  <si>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</si>
  <si>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</si>
  <si>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</si>
  <si>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</si>
  <si>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</si>
  <si>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</si>
  <si>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</si>
  <si>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</si>
  <si>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</si>
  <si>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</si>
  <si>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</si>
  <si>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</si>
  <si>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</si>
  <si>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</si>
  <si>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</si>
  <si>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</si>
  <si>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</si>
  <si>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</si>
  <si>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</si>
  <si>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</si>
  <si>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</si>
  <si>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16/2/1402</t>
  </si>
  <si>
    <t>17/2/1402</t>
  </si>
  <si>
    <t>ضستا5006 11/5/1402</t>
  </si>
  <si>
    <t>ضستا5006</t>
  </si>
  <si>
    <t>فرنبا</t>
  </si>
  <si>
    <t>طلب علی اعتبار 160 میلیون 28/10  و 500 میلیون تومن اعتبار 29/1/1402</t>
  </si>
  <si>
    <t>18/2/1402</t>
  </si>
  <si>
    <t>اعتبار</t>
  </si>
  <si>
    <t>19/3/1402</t>
  </si>
  <si>
    <t>19/2/1402</t>
  </si>
  <si>
    <t>20/2/1402</t>
  </si>
  <si>
    <t>24/2/1402</t>
  </si>
  <si>
    <t>24/2/1401</t>
  </si>
  <si>
    <t>ضستا4009 14/4/1402</t>
  </si>
  <si>
    <t>ضستا4009</t>
  </si>
  <si>
    <t>25/2/1402</t>
  </si>
  <si>
    <t>27/2/1402</t>
  </si>
  <si>
    <t>30/2/1401</t>
  </si>
  <si>
    <t>8   1</t>
  </si>
  <si>
    <t>18    2</t>
  </si>
  <si>
    <t>25   2</t>
  </si>
  <si>
    <t>3   3</t>
  </si>
  <si>
    <t>2   3</t>
  </si>
  <si>
    <t>27   2</t>
  </si>
  <si>
    <t>تومن روز</t>
  </si>
  <si>
    <t>EPS 1402</t>
  </si>
  <si>
    <t>1402dps</t>
  </si>
  <si>
    <t>9/3/1402</t>
  </si>
  <si>
    <t>ضستا5004</t>
  </si>
  <si>
    <t>ضستا5004 11/5/1402</t>
  </si>
  <si>
    <t>ضخود5022 11/5/1402</t>
  </si>
  <si>
    <t>ضخود5022</t>
  </si>
  <si>
    <t>ضخود5021</t>
  </si>
  <si>
    <t>20/3/1402</t>
  </si>
  <si>
    <t>21/3/1402</t>
  </si>
  <si>
    <t>22/3/1402</t>
  </si>
  <si>
    <t>ضستا5007 11/5/1402</t>
  </si>
  <si>
    <t>طلب نصف 26 قسط وام 50 میلیونی 24/03/1402</t>
  </si>
  <si>
    <t>24/3/1402</t>
  </si>
  <si>
    <t>ضستا5007</t>
  </si>
  <si>
    <t>طلب از رضا با دلار 49375 تومن 30/3/1402</t>
  </si>
  <si>
    <t>آگاه</t>
  </si>
  <si>
    <t>ضهرم7017</t>
  </si>
  <si>
    <t>ضهرم7016</t>
  </si>
  <si>
    <t>31/3/1402</t>
  </si>
  <si>
    <t>3/4/1402</t>
  </si>
  <si>
    <t>تعهد</t>
  </si>
  <si>
    <t>مجموع تعهد</t>
  </si>
  <si>
    <t>سود نقدی ومهان</t>
  </si>
  <si>
    <t>4/4/1402</t>
  </si>
  <si>
    <t>ضستا4014</t>
  </si>
  <si>
    <t>5/4/1402</t>
  </si>
  <si>
    <t>4/4/1401</t>
  </si>
  <si>
    <t xml:space="preserve">ضخود6020 8/6/1402 </t>
  </si>
  <si>
    <t>ضستا4006 14/4/1402</t>
  </si>
  <si>
    <t>6/4/1402</t>
  </si>
  <si>
    <t>10/4/1402</t>
  </si>
  <si>
    <t>علی (1659 تا مانده)</t>
  </si>
  <si>
    <t>طلب علی از حساب مریم و ایلیا و سارا</t>
  </si>
  <si>
    <t>11/4/1402</t>
  </si>
  <si>
    <t>وسپه حساب ایلیا</t>
  </si>
  <si>
    <t>سارا 14000 تا آزاد شده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</si>
</sst>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61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18" fillId="8" borderId="1" xfId="0" applyFont="1" applyFill="1" applyBorder="1" applyAlignment="1">
      <alignment horizontal="center" vertical="center"/>
    </xf>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0" fontId="0" fillId="33" borderId="1" xfId="0" applyFill="1" applyBorder="1" applyAlignment="1">
      <alignment horizontal="center" wrapText="1"/>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2" borderId="1" xfId="0" applyFill="1" applyBorder="1" applyAlignment="1">
      <alignment horizont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44" borderId="1" xfId="0" applyFill="1" applyBorder="1" applyAlignment="1">
      <alignment horizont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0" fillId="7" borderId="1" xfId="0"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164" fontId="18" fillId="18" borderId="1" xfId="0" applyNumberFormat="1" applyFont="1" applyFill="1" applyBorder="1" applyAlignment="1">
      <alignment horizontal="center" vertical="center"/>
    </xf>
    <xf numFmtId="3" fontId="18" fillId="18" borderId="1" xfId="0" applyNumberFormat="1" applyFont="1" applyFill="1" applyBorder="1" applyAlignment="1">
      <alignment horizontal="center" vertical="center"/>
    </xf>
    <xf numFmtId="164" fontId="18" fillId="33" borderId="1" xfId="0" applyNumberFormat="1" applyFont="1" applyFill="1" applyBorder="1" applyAlignment="1">
      <alignment horizontal="center" vertical="center"/>
    </xf>
    <xf numFmtId="164" fontId="18" fillId="8" borderId="1" xfId="0" applyNumberFormat="1" applyFont="1" applyFill="1" applyBorder="1" applyAlignment="1">
      <alignment horizontal="center" vertical="center"/>
    </xf>
    <xf numFmtId="3" fontId="18" fillId="8"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3" fontId="18" fillId="33"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3"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16" fontId="18" fillId="38" borderId="1" xfId="0" applyNumberFormat="1" applyFont="1" applyFill="1" applyBorder="1" applyAlignment="1">
      <alignment horizontal="center" vertical="center"/>
    </xf>
    <xf numFmtId="0" fontId="18" fillId="33" borderId="1" xfId="0" applyFont="1" applyFill="1" applyBorder="1" applyAlignment="1">
      <alignment horizontal="center" vertical="center"/>
    </xf>
    <xf numFmtId="16" fontId="18" fillId="30" borderId="1" xfId="0" applyNumberFormat="1" applyFont="1" applyFill="1" applyBorder="1" applyAlignment="1">
      <alignment horizontal="center" vertical="center"/>
    </xf>
    <xf numFmtId="16" fontId="18" fillId="7" borderId="1" xfId="0" applyNumberFormat="1" applyFont="1" applyFill="1" applyBorder="1" applyAlignment="1">
      <alignment horizontal="center" vertical="center"/>
    </xf>
    <xf numFmtId="0" fontId="18" fillId="12" borderId="1" xfId="0" applyFont="1" applyFill="1" applyBorder="1" applyAlignment="1">
      <alignment horizontal="center" vertical="center"/>
    </xf>
    <xf numFmtId="164" fontId="18" fillId="12" borderId="1" xfId="0" applyNumberFormat="1" applyFont="1" applyFill="1" applyBorder="1" applyAlignment="1">
      <alignment horizontal="center" vertical="center"/>
    </xf>
    <xf numFmtId="3" fontId="18" fillId="1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164" fontId="18" fillId="2" borderId="1" xfId="0" applyNumberFormat="1" applyFont="1" applyFill="1" applyBorder="1" applyAlignment="1">
      <alignment horizontal="center" vertical="center"/>
    </xf>
    <xf numFmtId="0" fontId="0" fillId="0" borderId="0" xfId="0"/>
    <xf numFmtId="0" fontId="0" fillId="0" borderId="0" xfId="0"/>
    <xf numFmtId="3" fontId="22" fillId="18" borderId="1" xfId="0" applyNumberFormat="1" applyFont="1" applyFill="1" applyBorder="1" applyAlignment="1">
      <alignment horizontal="center" vertical="center"/>
    </xf>
    <xf numFmtId="3" fontId="22" fillId="33" borderId="1" xfId="0" applyNumberFormat="1" applyFont="1" applyFill="1" applyBorder="1" applyAlignment="1">
      <alignment horizontal="center" vertical="center"/>
    </xf>
    <xf numFmtId="3" fontId="22" fillId="8" borderId="1" xfId="0" applyNumberFormat="1" applyFont="1" applyFill="1" applyBorder="1" applyAlignment="1">
      <alignment horizontal="center" vertical="center"/>
    </xf>
    <xf numFmtId="3" fontId="22" fillId="11" borderId="1" xfId="0" applyNumberFormat="1" applyFont="1" applyFill="1" applyBorder="1" applyAlignment="1">
      <alignment horizontal="center" vertical="center"/>
    </xf>
    <xf numFmtId="3" fontId="22" fillId="12" borderId="1" xfId="0" applyNumberFormat="1" applyFont="1" applyFill="1" applyBorder="1" applyAlignment="1">
      <alignment horizontal="center" vertical="center"/>
    </xf>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5" borderId="1" xfId="0"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18" fillId="45" borderId="5" xfId="0" applyFont="1" applyFill="1" applyBorder="1" applyAlignment="1">
      <alignment horizontal="center" vertical="center"/>
    </xf>
    <xf numFmtId="3" fontId="18" fillId="45" borderId="1" xfId="0" applyNumberFormat="1" applyFont="1" applyFill="1" applyBorder="1" applyAlignment="1">
      <alignment horizontal="center" vertical="center"/>
    </xf>
    <xf numFmtId="3" fontId="22" fillId="45"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3" fontId="22" fillId="30" borderId="1" xfId="0" applyNumberFormat="1" applyFont="1" applyFill="1" applyBorder="1" applyAlignment="1">
      <alignment horizontal="center" vertical="center"/>
    </xf>
    <xf numFmtId="3" fontId="22" fillId="31" borderId="1" xfId="0" applyNumberFormat="1"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ساله'!$A$157:$A$173</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ساله'!$A$157:$A$173</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cat>
          <c:val>
            <c:numRef>
              <c:f>'برنامه 5 ساله'!$C$157:$C$173</c:f>
              <c:numCache>
                <c:formatCode>\ت\و\م\ا\ن\ #,##0\ </c:formatCode>
                <c:ptCount val="17"/>
                <c:pt idx="0">
                  <c:v>19435873370</c:v>
                </c:pt>
                <c:pt idx="1">
                  <c:v>8543.0232558139523</c:v>
                </c:pt>
                <c:pt idx="2">
                  <c:v>324947772</c:v>
                </c:pt>
                <c:pt idx="3">
                  <c:v>237090000</c:v>
                </c:pt>
                <c:pt idx="4">
                  <c:v>107931636</c:v>
                </c:pt>
                <c:pt idx="5">
                  <c:v>518232000</c:v>
                </c:pt>
                <c:pt idx="6">
                  <c:v>2485848450</c:v>
                </c:pt>
                <c:pt idx="7">
                  <c:v>2573387073</c:v>
                </c:pt>
                <c:pt idx="8">
                  <c:v>881328000</c:v>
                </c:pt>
                <c:pt idx="9">
                  <c:v>66693000</c:v>
                </c:pt>
                <c:pt idx="10">
                  <c:v>6450000</c:v>
                </c:pt>
                <c:pt idx="11">
                  <c:v>26058000</c:v>
                </c:pt>
                <c:pt idx="12">
                  <c:v>0</c:v>
                </c:pt>
                <c:pt idx="13">
                  <c:v>0</c:v>
                </c:pt>
                <c:pt idx="14">
                  <c:v>0</c:v>
                </c:pt>
                <c:pt idx="15">
                  <c:v>0</c:v>
                </c:pt>
                <c:pt idx="16">
                  <c:v>290989196</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177</xdr:row>
      <xdr:rowOff>112058</xdr:rowOff>
    </xdr:from>
    <xdr:to>
      <xdr:col>5</xdr:col>
      <xdr:colOff>168088</xdr:colOff>
      <xdr:row>212</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D1" zoomScale="85" zoomScaleNormal="85" workbookViewId="0">
      <selection activeCell="H14" sqref="H1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3555</v>
      </c>
      <c r="C1" s="364"/>
      <c r="D1" s="364"/>
      <c r="E1" s="364">
        <f>B1*100/$C$68</f>
        <v>1.3111266737799602E-5</v>
      </c>
      <c r="F1" s="11"/>
      <c r="G1" s="279" t="s">
        <v>4406</v>
      </c>
      <c r="H1" s="1">
        <f>SUM(B42:B65)</f>
        <v>14224486625.023256</v>
      </c>
      <c r="J1" s="207" t="s">
        <v>4315</v>
      </c>
      <c r="K1" s="207" t="s">
        <v>4326</v>
      </c>
      <c r="L1" s="207" t="s">
        <v>4327</v>
      </c>
      <c r="M1" s="357" t="s">
        <v>25</v>
      </c>
      <c r="N1" s="357" t="s">
        <v>25</v>
      </c>
      <c r="V1" t="s">
        <v>25</v>
      </c>
      <c r="Z1" t="s">
        <v>25</v>
      </c>
      <c r="AA1" t="s">
        <v>25</v>
      </c>
    </row>
    <row r="2" spans="1:27">
      <c r="A2" s="364" t="s">
        <v>6664</v>
      </c>
      <c r="B2" s="367">
        <f>C2*D2</f>
        <v>6209750</v>
      </c>
      <c r="C2" s="374">
        <v>2950</v>
      </c>
      <c r="D2" s="364">
        <f>D42</f>
        <v>2105</v>
      </c>
      <c r="E2" s="364">
        <f>B2*100/$C$68</f>
        <v>2.2902303410703536E-2</v>
      </c>
      <c r="F2" s="11"/>
      <c r="G2" s="357" t="s">
        <v>4318</v>
      </c>
      <c r="H2" s="1">
        <f>SUM(B30:B39)</f>
        <v>9052508730</v>
      </c>
      <c r="I2">
        <f t="shared" ref="I2:I7" si="0">K2-$K$10</f>
        <v>1479980</v>
      </c>
      <c r="J2" s="207" t="s">
        <v>690</v>
      </c>
      <c r="K2" s="207">
        <v>1479980</v>
      </c>
      <c r="L2" s="276">
        <f t="shared" ref="L2:L7" si="1">K2*$O$516</f>
        <v>8454370116.6268616</v>
      </c>
      <c r="M2" s="357">
        <f t="shared" ref="M2:M7" si="2">L2*100/$L$10</f>
        <v>32.20522140736108</v>
      </c>
      <c r="N2" s="1">
        <f t="shared" ref="N2:N7" si="3">M2*0.01*$N$10</f>
        <v>345399767.74422872</v>
      </c>
    </row>
    <row r="3" spans="1:27">
      <c r="A3" s="364" t="s">
        <v>6665</v>
      </c>
      <c r="B3" s="367">
        <f>C3*D3</f>
        <v>0</v>
      </c>
      <c r="C3" s="374">
        <v>0</v>
      </c>
      <c r="D3" s="364">
        <f>D43</f>
        <v>854.30232558139528</v>
      </c>
      <c r="E3" s="364">
        <f>B3*100/$C$68</f>
        <v>0</v>
      </c>
      <c r="F3" s="11"/>
      <c r="G3" s="357" t="s">
        <v>4319</v>
      </c>
      <c r="H3" s="1">
        <f>SUM(B21:B27)</f>
        <v>1114677950</v>
      </c>
      <c r="I3">
        <f t="shared" si="0"/>
        <v>2572827</v>
      </c>
      <c r="J3" s="207" t="s">
        <v>4317</v>
      </c>
      <c r="K3" s="207">
        <v>2572827</v>
      </c>
      <c r="L3" s="276">
        <f t="shared" si="1"/>
        <v>14697247060.12969</v>
      </c>
      <c r="M3" s="357">
        <f t="shared" si="2"/>
        <v>55.986204663466111</v>
      </c>
      <c r="N3" s="1">
        <f t="shared" si="3"/>
        <v>600449903.54334569</v>
      </c>
    </row>
    <row r="4" spans="1:27">
      <c r="A4" s="364" t="s">
        <v>6901</v>
      </c>
      <c r="B4" s="367">
        <f>C4*D4</f>
        <v>0</v>
      </c>
      <c r="C4" s="374">
        <v>0</v>
      </c>
      <c r="D4" s="364">
        <f>D61</f>
        <v>1129</v>
      </c>
      <c r="E4" s="364">
        <f>B4*100/$C$68</f>
        <v>0</v>
      </c>
      <c r="F4" s="11"/>
      <c r="G4" s="357" t="s">
        <v>6838</v>
      </c>
      <c r="H4" s="1">
        <f>SUM(B10:B18)</f>
        <v>1845112557</v>
      </c>
      <c r="I4">
        <f t="shared" si="0"/>
        <v>41446</v>
      </c>
      <c r="J4" s="207" t="s">
        <v>4316</v>
      </c>
      <c r="K4" s="207">
        <v>41446</v>
      </c>
      <c r="L4" s="276">
        <f t="shared" si="1"/>
        <v>236759837.19625732</v>
      </c>
      <c r="M4" s="357">
        <f t="shared" si="2"/>
        <v>0.90188894880301573</v>
      </c>
      <c r="N4" s="1">
        <f t="shared" si="3"/>
        <v>9672724.4786600526</v>
      </c>
    </row>
    <row r="5" spans="1:27">
      <c r="A5" s="364" t="s">
        <v>6927</v>
      </c>
      <c r="B5" s="367">
        <f>C5*D5</f>
        <v>104232</v>
      </c>
      <c r="C5" s="323">
        <v>808</v>
      </c>
      <c r="D5" s="364">
        <f>D49</f>
        <v>129</v>
      </c>
      <c r="E5" s="364">
        <f>B5*100/$C$68</f>
        <v>3.8442012788026108E-4</v>
      </c>
      <c r="F5" s="11"/>
      <c r="G5" s="357" t="s">
        <v>6839</v>
      </c>
      <c r="H5" s="1">
        <f>SUM(B2:B7)</f>
        <v>691561982</v>
      </c>
      <c r="I5">
        <f t="shared" si="0"/>
        <v>120081</v>
      </c>
      <c r="J5" s="207" t="s">
        <v>1005</v>
      </c>
      <c r="K5" s="207">
        <v>120081</v>
      </c>
      <c r="L5" s="276">
        <f t="shared" si="1"/>
        <v>685961444.05645359</v>
      </c>
      <c r="M5" s="357">
        <f t="shared" si="2"/>
        <v>2.6130320624720103</v>
      </c>
      <c r="N5" s="1">
        <f t="shared" si="3"/>
        <v>28024668.92153592</v>
      </c>
      <c r="T5" t="s">
        <v>25</v>
      </c>
      <c r="U5" t="s">
        <v>25</v>
      </c>
    </row>
    <row r="6" spans="1:27">
      <c r="A6" s="364" t="s">
        <v>6932</v>
      </c>
      <c r="B6" s="367">
        <f>C6*D6</f>
        <v>618555000</v>
      </c>
      <c r="C6" s="374">
        <v>4795000</v>
      </c>
      <c r="D6" s="364">
        <f>IF(D49&gt;180,180,D49)</f>
        <v>129</v>
      </c>
      <c r="E6" s="364">
        <f>B6*100/$C$68</f>
        <v>2.2813050905765491</v>
      </c>
      <c r="F6" s="367">
        <f>C6*'خرید و فروش نسبتی'!O15</f>
        <v>71925000</v>
      </c>
      <c r="G6" s="357" t="s">
        <v>4320</v>
      </c>
      <c r="H6" s="1">
        <f>B41</f>
        <v>240936335</v>
      </c>
      <c r="I6" s="381">
        <f t="shared" si="0"/>
        <v>287123</v>
      </c>
      <c r="J6" s="207" t="s">
        <v>5281</v>
      </c>
      <c r="K6" s="207">
        <v>287123</v>
      </c>
      <c r="L6" s="276">
        <f t="shared" si="1"/>
        <v>1640187104.5529361</v>
      </c>
      <c r="M6" s="389">
        <f t="shared" si="2"/>
        <v>6.2479626658101699</v>
      </c>
      <c r="N6" s="1">
        <f t="shared" si="3"/>
        <v>67009160.606242105</v>
      </c>
    </row>
    <row r="7" spans="1:27">
      <c r="A7" s="364" t="s">
        <v>6946</v>
      </c>
      <c r="B7" s="367">
        <f t="shared" ref="B7" si="4">C7*D7</f>
        <v>66693000</v>
      </c>
      <c r="C7" s="374">
        <v>517000</v>
      </c>
      <c r="D7" s="364">
        <f>IF(D49&gt;180,180,D49)</f>
        <v>129</v>
      </c>
      <c r="E7" s="364">
        <f>B7*100/$C$68</f>
        <v>0.24597178974516704</v>
      </c>
      <c r="F7" s="367">
        <f>C7*'خرید و فروش نسبتی'!O14</f>
        <v>672100</v>
      </c>
      <c r="G7" s="357" t="s">
        <v>4321</v>
      </c>
      <c r="H7" s="1">
        <f>B29</f>
        <v>50000424</v>
      </c>
      <c r="I7" s="381">
        <f t="shared" si="0"/>
        <v>94009</v>
      </c>
      <c r="J7" s="207" t="s">
        <v>6837</v>
      </c>
      <c r="K7" s="207">
        <v>94009</v>
      </c>
      <c r="L7" s="276">
        <f t="shared" si="1"/>
        <v>537025419.46105659</v>
      </c>
      <c r="M7" s="389">
        <f t="shared" si="2"/>
        <v>2.0456902520876006</v>
      </c>
      <c r="N7" s="1">
        <f t="shared" si="3"/>
        <v>21939949.705987372</v>
      </c>
      <c r="T7" t="s">
        <v>25</v>
      </c>
    </row>
    <row r="8" spans="1:27">
      <c r="E8" s="548"/>
      <c r="F8" t="s">
        <v>25</v>
      </c>
      <c r="G8" s="357" t="s">
        <v>4322</v>
      </c>
      <c r="H8" s="1">
        <f>B20</f>
        <v>1818</v>
      </c>
      <c r="I8" t="s">
        <v>25</v>
      </c>
      <c r="J8" s="207"/>
      <c r="K8" s="207"/>
      <c r="L8" s="207"/>
      <c r="M8" s="357"/>
      <c r="N8" s="357" t="s">
        <v>25</v>
      </c>
      <c r="U8" t="s">
        <v>25</v>
      </c>
    </row>
    <row r="9" spans="1:27">
      <c r="A9" s="362" t="s">
        <v>6592</v>
      </c>
      <c r="B9" s="471">
        <v>47064</v>
      </c>
      <c r="C9" s="375"/>
      <c r="D9" s="471"/>
      <c r="E9" s="364">
        <f>B9*100/$C$68</f>
        <v>1.7357768150430393E-4</v>
      </c>
      <c r="F9" s="11"/>
      <c r="G9" s="357" t="s">
        <v>6840</v>
      </c>
      <c r="H9" s="1">
        <f>B9</f>
        <v>47064</v>
      </c>
      <c r="J9" s="207"/>
      <c r="K9" s="207">
        <f>SUM(K2:K7)</f>
        <v>4595466</v>
      </c>
      <c r="L9" s="207"/>
      <c r="M9" s="1" t="s">
        <v>25</v>
      </c>
      <c r="N9" s="357" t="s">
        <v>25</v>
      </c>
      <c r="U9" t="s">
        <v>25</v>
      </c>
    </row>
    <row r="10" spans="1:27">
      <c r="A10" s="362" t="s">
        <v>6593</v>
      </c>
      <c r="B10" s="471">
        <f t="shared" ref="B10:B13" si="5">C10*D10</f>
        <v>195175600</v>
      </c>
      <c r="C10" s="375">
        <v>92720</v>
      </c>
      <c r="D10" s="362">
        <f>D42</f>
        <v>2105</v>
      </c>
      <c r="E10" s="364">
        <f>B10*100/$C$68</f>
        <v>0.71983104143743459</v>
      </c>
      <c r="F10" s="11"/>
      <c r="G10" s="357" t="s">
        <v>6841</v>
      </c>
      <c r="H10" s="1">
        <f>B1</f>
        <v>3555</v>
      </c>
      <c r="I10" t="s">
        <v>25</v>
      </c>
      <c r="J10" s="207"/>
      <c r="K10" s="207">
        <f>K9-P513</f>
        <v>0</v>
      </c>
      <c r="L10" s="276">
        <f>SUM(L2:L7)</f>
        <v>26251550982.023258</v>
      </c>
      <c r="M10" s="357" t="s">
        <v>25</v>
      </c>
      <c r="N10" s="1">
        <v>1072496175</v>
      </c>
    </row>
    <row r="11" spans="1:27" ht="18" customHeight="1">
      <c r="A11" s="362" t="s">
        <v>6594</v>
      </c>
      <c r="B11" s="471">
        <f t="shared" si="5"/>
        <v>0</v>
      </c>
      <c r="C11" s="375">
        <v>0</v>
      </c>
      <c r="D11" s="362">
        <f>D43</f>
        <v>854.30232558139528</v>
      </c>
      <c r="E11" s="364">
        <f>B11*100/$C$68</f>
        <v>0</v>
      </c>
      <c r="F11" s="11"/>
      <c r="G11" s="357" t="s">
        <v>7069</v>
      </c>
      <c r="H11" s="1">
        <f>-F67</f>
        <v>-105252100</v>
      </c>
      <c r="I11" t="s">
        <v>25</v>
      </c>
      <c r="J11" s="207"/>
      <c r="K11" s="207" t="s">
        <v>5607</v>
      </c>
      <c r="L11" s="276">
        <f>H3+H8-L5</f>
        <v>428718323.94354641</v>
      </c>
      <c r="M11" s="357">
        <f>L11/L4</f>
        <v>1.8107730137868314</v>
      </c>
      <c r="N11" s="357" t="s">
        <v>25</v>
      </c>
      <c r="P11" t="s">
        <v>25</v>
      </c>
    </row>
    <row r="12" spans="1:27">
      <c r="A12" s="362" t="s">
        <v>7083</v>
      </c>
      <c r="B12" s="471">
        <f t="shared" si="5"/>
        <v>33997772</v>
      </c>
      <c r="C12" s="375">
        <v>64268</v>
      </c>
      <c r="D12" s="362">
        <f>'خرید و فروش نسبتی'!O24</f>
        <v>529</v>
      </c>
      <c r="E12" s="364">
        <f>B12*100/$C$68</f>
        <v>0.12538786418646825</v>
      </c>
      <c r="F12" s="205"/>
      <c r="G12" s="357" t="s">
        <v>4922</v>
      </c>
      <c r="H12" s="1">
        <v>0</v>
      </c>
      <c r="I12" t="s">
        <v>25</v>
      </c>
      <c r="J12" s="207"/>
      <c r="K12" s="207" t="s">
        <v>5606</v>
      </c>
      <c r="L12" s="276">
        <f>L4-L11</f>
        <v>-191958486.74728909</v>
      </c>
      <c r="M12" s="357">
        <f>L12/L4</f>
        <v>-0.81077301378683142</v>
      </c>
      <c r="N12" s="357"/>
      <c r="U12" t="s">
        <v>25</v>
      </c>
    </row>
    <row r="13" spans="1:27">
      <c r="A13" s="362" t="s">
        <v>4716</v>
      </c>
      <c r="B13" s="471">
        <f t="shared" si="5"/>
        <v>107931636</v>
      </c>
      <c r="C13" s="375">
        <v>6582</v>
      </c>
      <c r="D13" s="362">
        <f>'خرید و فروش نسبتی'!O30</f>
        <v>16398</v>
      </c>
      <c r="E13" s="364">
        <f>B13*100/$C$68</f>
        <v>0.39806482954798705</v>
      </c>
      <c r="F13" s="354"/>
      <c r="G13" s="357" t="s">
        <v>6774</v>
      </c>
      <c r="H13" s="1">
        <f>-2042478*D49-1148593*D42-41000*D50+549271376</f>
        <v>-2137285551</v>
      </c>
      <c r="J13" s="207"/>
      <c r="K13" s="207" t="s">
        <v>6875</v>
      </c>
      <c r="L13" s="276">
        <f>H2+H7-L2-L12</f>
        <v>840097524.12042749</v>
      </c>
      <c r="M13" s="357">
        <f t="shared" ref="M13:M15" si="6">L13/L5</f>
        <v>1.2247007924417523</v>
      </c>
      <c r="N13" s="357" t="s">
        <v>25</v>
      </c>
      <c r="T13" s="35"/>
    </row>
    <row r="14" spans="1:27" ht="34.5" customHeight="1">
      <c r="A14" s="341" t="s">
        <v>6928</v>
      </c>
      <c r="B14" s="471">
        <f>C14*D14</f>
        <v>1496397549</v>
      </c>
      <c r="C14" s="323">
        <v>11599981</v>
      </c>
      <c r="D14" s="362">
        <f>D49</f>
        <v>129</v>
      </c>
      <c r="E14" s="364">
        <f>B14*100/$C$68</f>
        <v>5.5188937864215326</v>
      </c>
      <c r="F14" s="354"/>
      <c r="G14" s="279" t="s">
        <v>7028</v>
      </c>
      <c r="H14" s="1">
        <f>-6160241*D49</f>
        <v>-794671089</v>
      </c>
      <c r="J14" s="207"/>
      <c r="K14" s="207" t="s">
        <v>6874</v>
      </c>
      <c r="L14" s="276">
        <f>H4+H9-L6</f>
        <v>204972516.44706392</v>
      </c>
      <c r="M14" s="357">
        <f t="shared" si="6"/>
        <v>0.12496898425678883</v>
      </c>
      <c r="N14" s="11" t="s">
        <v>25</v>
      </c>
      <c r="T14" s="35"/>
    </row>
    <row r="15" spans="1:27">
      <c r="A15" s="341" t="s">
        <v>6932</v>
      </c>
      <c r="B15" s="471">
        <f t="shared" ref="B15:B18" si="7">C15*D15</f>
        <v>0</v>
      </c>
      <c r="C15" s="375">
        <v>0</v>
      </c>
      <c r="D15" s="362">
        <f>IF(D49&gt;180,180,D49)</f>
        <v>129</v>
      </c>
      <c r="E15" s="364">
        <f>B15*100/$C$68</f>
        <v>0</v>
      </c>
      <c r="F15" s="367">
        <f>C15*'خرید و فروش نسبتی'!O15</f>
        <v>0</v>
      </c>
      <c r="G15" s="357" t="s">
        <v>6855</v>
      </c>
      <c r="H15" s="1">
        <f>-345061*D49</f>
        <v>-44512869</v>
      </c>
      <c r="J15" s="207"/>
      <c r="K15" s="207" t="s">
        <v>6876</v>
      </c>
      <c r="L15" s="276">
        <f>H5+H10-L7</f>
        <v>154540117.53894341</v>
      </c>
      <c r="M15" s="357">
        <f t="shared" si="6"/>
        <v>0.28777058205929146</v>
      </c>
      <c r="N15" s="11" t="s">
        <v>25</v>
      </c>
      <c r="T15" s="76"/>
    </row>
    <row r="16" spans="1:27">
      <c r="A16" s="341" t="s">
        <v>6946</v>
      </c>
      <c r="B16" s="471">
        <f t="shared" si="7"/>
        <v>0</v>
      </c>
      <c r="C16" s="375">
        <v>0</v>
      </c>
      <c r="D16" s="362">
        <f>IF(D49&gt;180,180,D49)</f>
        <v>129</v>
      </c>
      <c r="E16" s="364">
        <f>B16*100/$C$68</f>
        <v>0</v>
      </c>
      <c r="F16" s="367">
        <f>C16*'خرید و فروش نسبتی'!O14</f>
        <v>0</v>
      </c>
      <c r="G16" s="357" t="s">
        <v>7081</v>
      </c>
      <c r="H16" s="1">
        <v>-23350000</v>
      </c>
      <c r="K16" s="475"/>
      <c r="L16" s="475"/>
      <c r="S16" s="76"/>
      <c r="T16" s="76"/>
      <c r="U16" t="s">
        <v>25</v>
      </c>
    </row>
    <row r="17" spans="1:47">
      <c r="A17" s="341" t="s">
        <v>7025</v>
      </c>
      <c r="B17" s="471">
        <f t="shared" si="7"/>
        <v>11610000</v>
      </c>
      <c r="C17" s="375">
        <v>90000</v>
      </c>
      <c r="D17" s="362">
        <f>IF($D$49&gt;170,170,$D$49)</f>
        <v>129</v>
      </c>
      <c r="E17" s="364">
        <f>B17*100/$C$68</f>
        <v>4.2819073650029078E-2</v>
      </c>
      <c r="F17" s="354"/>
      <c r="G17" s="357" t="s">
        <v>4324</v>
      </c>
      <c r="H17" s="1">
        <f>SUM(H1:H16)-H13</f>
        <v>26251550982.023254</v>
      </c>
      <c r="K17" s="475"/>
      <c r="L17" s="475"/>
      <c r="S17" s="35"/>
      <c r="T17" s="35"/>
      <c r="V17" t="s">
        <v>25</v>
      </c>
      <c r="AC17" t="s">
        <v>25</v>
      </c>
    </row>
    <row r="18" spans="1:47">
      <c r="A18" s="341" t="s">
        <v>6931</v>
      </c>
      <c r="B18" s="471">
        <f t="shared" si="7"/>
        <v>0</v>
      </c>
      <c r="C18" s="375">
        <v>0</v>
      </c>
      <c r="D18" s="362">
        <f>IF($D$49&gt;160,160,$D$49)</f>
        <v>129</v>
      </c>
      <c r="E18" s="364">
        <f>B18*100/$C$68</f>
        <v>0</v>
      </c>
      <c r="F18" s="354"/>
      <c r="G18" s="475"/>
      <c r="H18" s="475"/>
      <c r="K18" s="475"/>
      <c r="L18" s="357" t="s">
        <v>8</v>
      </c>
      <c r="M18" s="357" t="s">
        <v>4316</v>
      </c>
      <c r="N18" s="2"/>
      <c r="O18" s="357" t="s">
        <v>180</v>
      </c>
      <c r="P18" s="357" t="s">
        <v>4338</v>
      </c>
      <c r="Q18" s="357" t="s">
        <v>4339</v>
      </c>
      <c r="R18" s="357" t="s">
        <v>4349</v>
      </c>
      <c r="S18" s="357" t="s">
        <v>8</v>
      </c>
      <c r="T18" s="35"/>
    </row>
    <row r="19" spans="1:47" ht="18" customHeight="1">
      <c r="A19" s="354"/>
      <c r="B19" s="355"/>
      <c r="C19" s="373"/>
      <c r="D19" s="354"/>
      <c r="E19" s="548"/>
      <c r="F19" s="205"/>
      <c r="G19" s="475"/>
      <c r="H19" s="368"/>
      <c r="K19" s="475"/>
      <c r="L19" s="357"/>
      <c r="M19" s="279" t="s">
        <v>180</v>
      </c>
      <c r="N19" s="2" t="s">
        <v>267</v>
      </c>
      <c r="O19" s="1" t="s">
        <v>4325</v>
      </c>
      <c r="P19" s="357">
        <v>1000000</v>
      </c>
      <c r="Q19" s="1">
        <v>239.024</v>
      </c>
      <c r="R19" s="1">
        <f t="shared" ref="R19:R120" si="8">P19*Q19</f>
        <v>239024000</v>
      </c>
      <c r="S19" s="357"/>
      <c r="AA19" t="s">
        <v>25</v>
      </c>
      <c r="AI19" s="11" t="s">
        <v>3557</v>
      </c>
      <c r="AJ19" s="11" t="s">
        <v>180</v>
      </c>
      <c r="AK19" s="11" t="s">
        <v>267</v>
      </c>
      <c r="AL19" s="11" t="s">
        <v>3971</v>
      </c>
      <c r="AM19" s="11" t="s">
        <v>3963</v>
      </c>
      <c r="AN19" s="11" t="s">
        <v>282</v>
      </c>
      <c r="AO19" s="11" t="s">
        <v>422</v>
      </c>
    </row>
    <row r="20" spans="1:47" ht="17.25" customHeight="1">
      <c r="A20" s="361" t="s">
        <v>4323</v>
      </c>
      <c r="B20" s="360">
        <v>1818</v>
      </c>
      <c r="C20" s="377"/>
      <c r="D20" s="361"/>
      <c r="E20" s="364">
        <f>B20*100/$C$68</f>
        <v>6.7050022304696696E-6</v>
      </c>
      <c r="F20" s="205"/>
      <c r="G20" s="368"/>
      <c r="H20" s="368"/>
      <c r="I20" s="368"/>
      <c r="K20" s="475"/>
      <c r="L20" s="357"/>
      <c r="M20" s="357" t="s">
        <v>4310</v>
      </c>
      <c r="N20" s="3">
        <v>3000000</v>
      </c>
      <c r="O20" s="357" t="s">
        <v>4310</v>
      </c>
      <c r="P20" s="357">
        <v>5904</v>
      </c>
      <c r="Q20" s="1">
        <v>237.148</v>
      </c>
      <c r="R20" s="1">
        <f t="shared" si="8"/>
        <v>1400121.7919999999</v>
      </c>
      <c r="S20" s="357" t="s">
        <v>690</v>
      </c>
      <c r="AI20" s="11">
        <v>1</v>
      </c>
      <c r="AJ20" s="3" t="s">
        <v>1026</v>
      </c>
      <c r="AK20" s="3">
        <v>18000000</v>
      </c>
      <c r="AL20" s="11">
        <v>1</v>
      </c>
      <c r="AM20" s="11">
        <f>AM21+AL20</f>
        <v>1452</v>
      </c>
      <c r="AN20" s="3">
        <f t="shared" ref="AN20:AO61" si="9">AK20*AM20</f>
        <v>26136000000</v>
      </c>
      <c r="AO20" s="11"/>
    </row>
    <row r="21" spans="1:47">
      <c r="A21" s="361" t="s">
        <v>4306</v>
      </c>
      <c r="B21" s="360">
        <f>C21*D21</f>
        <v>25659950</v>
      </c>
      <c r="C21" s="377">
        <v>12190</v>
      </c>
      <c r="D21" s="361">
        <f>D42</f>
        <v>2105</v>
      </c>
      <c r="E21" s="364">
        <f>B21*100/$C$68</f>
        <v>9.4636975788635974E-2</v>
      </c>
      <c r="F21" s="205"/>
      <c r="G21" s="368"/>
      <c r="H21" s="368"/>
      <c r="I21" s="356"/>
      <c r="J21" t="s">
        <v>25</v>
      </c>
      <c r="K21" s="475"/>
      <c r="L21" s="357"/>
      <c r="M21" s="357" t="s">
        <v>4350</v>
      </c>
      <c r="N21" s="3">
        <v>2000000</v>
      </c>
      <c r="O21" s="357" t="s">
        <v>4123</v>
      </c>
      <c r="P21" s="357">
        <v>1000</v>
      </c>
      <c r="Q21" s="1">
        <v>247.393</v>
      </c>
      <c r="R21" s="1">
        <f t="shared" si="8"/>
        <v>247393</v>
      </c>
      <c r="S21" s="357" t="s">
        <v>690</v>
      </c>
      <c r="AI21" s="11">
        <v>2</v>
      </c>
      <c r="AJ21" s="3" t="s">
        <v>1028</v>
      </c>
      <c r="AK21" s="3">
        <v>2500000</v>
      </c>
      <c r="AL21" s="11">
        <v>1</v>
      </c>
      <c r="AM21" s="11">
        <f t="shared" ref="AM21:AN60" si="10">AM22+AL21</f>
        <v>1451</v>
      </c>
      <c r="AN21" s="3">
        <f t="shared" si="9"/>
        <v>3627500000</v>
      </c>
      <c r="AO21" s="11"/>
    </row>
    <row r="22" spans="1:47">
      <c r="A22" s="361" t="s">
        <v>5139</v>
      </c>
      <c r="B22" s="360">
        <f>C22*D22</f>
        <v>0</v>
      </c>
      <c r="C22" s="377">
        <v>0</v>
      </c>
      <c r="D22" s="361">
        <f>D43</f>
        <v>854.30232558139528</v>
      </c>
      <c r="E22" s="364">
        <f>B22*100/$C$68</f>
        <v>0</v>
      </c>
      <c r="F22" s="205" t="s">
        <v>25</v>
      </c>
      <c r="G22" s="475"/>
      <c r="H22" s="475"/>
      <c r="I22" s="356"/>
      <c r="K22" s="475"/>
      <c r="L22" s="357"/>
      <c r="M22" s="357" t="s">
        <v>4358</v>
      </c>
      <c r="N22" s="3">
        <v>1000000</v>
      </c>
      <c r="O22" s="208" t="s">
        <v>4350</v>
      </c>
      <c r="P22" s="208">
        <v>8071</v>
      </c>
      <c r="Q22" s="390">
        <v>247.797</v>
      </c>
      <c r="R22" s="390">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1" t="s">
        <v>5594</v>
      </c>
      <c r="B23" s="360">
        <f>C23*D23</f>
        <v>826245000</v>
      </c>
      <c r="C23" s="323">
        <v>6405000</v>
      </c>
      <c r="D23" s="361">
        <f>D49</f>
        <v>129</v>
      </c>
      <c r="E23" s="364">
        <f>B23*100/$C$68</f>
        <v>3.0472907414270693</v>
      </c>
      <c r="F23" s="205"/>
      <c r="G23" s="2"/>
      <c r="H23" s="37"/>
      <c r="J23" t="s">
        <v>25</v>
      </c>
      <c r="K23" s="475"/>
      <c r="L23" s="357"/>
      <c r="M23" s="357" t="s">
        <v>4361</v>
      </c>
      <c r="N23" s="3">
        <v>2000000</v>
      </c>
      <c r="O23" s="357" t="s">
        <v>4350</v>
      </c>
      <c r="P23" s="357">
        <v>53672</v>
      </c>
      <c r="Q23" s="1">
        <v>247.797</v>
      </c>
      <c r="R23" s="1">
        <f t="shared" si="8"/>
        <v>13299760.584000001</v>
      </c>
      <c r="S23" s="357" t="s">
        <v>422</v>
      </c>
      <c r="AA23" t="s">
        <v>25</v>
      </c>
      <c r="AB23" t="s">
        <v>25</v>
      </c>
      <c r="AI23" s="11">
        <v>4</v>
      </c>
      <c r="AJ23" s="3" t="s">
        <v>3967</v>
      </c>
      <c r="AK23" s="3">
        <v>-79552</v>
      </c>
      <c r="AL23" s="11">
        <v>1</v>
      </c>
      <c r="AM23" s="11">
        <f t="shared" si="10"/>
        <v>1449</v>
      </c>
      <c r="AN23" s="3">
        <f t="shared" si="9"/>
        <v>-115270848</v>
      </c>
      <c r="AO23" s="11"/>
    </row>
    <row r="24" spans="1:47">
      <c r="A24" s="361" t="s">
        <v>6932</v>
      </c>
      <c r="B24" s="360">
        <f t="shared" ref="B24:B25" si="11">C24*D24</f>
        <v>262773000</v>
      </c>
      <c r="C24" s="377">
        <v>2037000</v>
      </c>
      <c r="D24" s="361">
        <f>IF(D49&gt;180,180,D49)</f>
        <v>129</v>
      </c>
      <c r="E24" s="364">
        <f>B24*100/$C$68</f>
        <v>0.96913836694565814</v>
      </c>
      <c r="F24" s="367">
        <f>C24*'خرید و فروش نسبتی'!O15</f>
        <v>30555000</v>
      </c>
      <c r="G24" s="2" t="s">
        <v>6470</v>
      </c>
      <c r="H24" s="37">
        <f>-'فروردین 98'!D176</f>
        <v>3846463</v>
      </c>
      <c r="I24" s="356"/>
      <c r="K24" s="475"/>
      <c r="L24" s="357"/>
      <c r="M24" s="357" t="s">
        <v>914</v>
      </c>
      <c r="N24" s="3">
        <v>3000000</v>
      </c>
      <c r="O24" s="208" t="s">
        <v>4358</v>
      </c>
      <c r="P24" s="208">
        <v>4099</v>
      </c>
      <c r="Q24" s="390">
        <v>243.93</v>
      </c>
      <c r="R24" s="390">
        <f t="shared" si="8"/>
        <v>999869.07000000007</v>
      </c>
      <c r="S24" s="208" t="s">
        <v>4316</v>
      </c>
      <c r="AA24" t="s">
        <v>25</v>
      </c>
      <c r="AI24" s="11">
        <v>5</v>
      </c>
      <c r="AJ24" s="3" t="s">
        <v>1048</v>
      </c>
      <c r="AK24" s="3">
        <v>165500</v>
      </c>
      <c r="AL24" s="11">
        <v>12</v>
      </c>
      <c r="AM24" s="11">
        <f t="shared" si="10"/>
        <v>1448</v>
      </c>
      <c r="AN24" s="3">
        <f t="shared" si="9"/>
        <v>239644000</v>
      </c>
      <c r="AO24" s="11"/>
    </row>
    <row r="25" spans="1:47">
      <c r="A25" s="361" t="s">
        <v>6946</v>
      </c>
      <c r="B25" s="360">
        <f t="shared" si="11"/>
        <v>0</v>
      </c>
      <c r="C25" s="377">
        <v>0</v>
      </c>
      <c r="D25" s="361">
        <f>IF($D$49&gt;180,180,$D$49)</f>
        <v>129</v>
      </c>
      <c r="E25" s="364">
        <f>B25*100/$C$68</f>
        <v>0</v>
      </c>
      <c r="F25" s="367">
        <f>C25*'خرید و فروش نسبتی'!O14</f>
        <v>0</v>
      </c>
      <c r="G25" s="2" t="s">
        <v>4328</v>
      </c>
      <c r="H25" s="37">
        <f>-L13</f>
        <v>-840097524.12042749</v>
      </c>
      <c r="J25" t="s">
        <v>25</v>
      </c>
      <c r="K25" s="475"/>
      <c r="L25" s="357"/>
      <c r="M25" s="357" t="s">
        <v>4475</v>
      </c>
      <c r="N25" s="3">
        <v>3000000</v>
      </c>
      <c r="O25" s="357" t="s">
        <v>4358</v>
      </c>
      <c r="P25" s="357">
        <v>9301</v>
      </c>
      <c r="Q25" s="1">
        <v>243.93</v>
      </c>
      <c r="R25" s="1">
        <f t="shared" si="8"/>
        <v>2268792.9300000002</v>
      </c>
      <c r="S25" s="357" t="s">
        <v>422</v>
      </c>
      <c r="AB25" t="s">
        <v>25</v>
      </c>
      <c r="AI25" s="11">
        <v>6</v>
      </c>
      <c r="AJ25" s="3" t="s">
        <v>1072</v>
      </c>
      <c r="AK25" s="3">
        <v>-28830327</v>
      </c>
      <c r="AL25" s="11">
        <v>6</v>
      </c>
      <c r="AM25" s="11">
        <f t="shared" si="10"/>
        <v>1436</v>
      </c>
      <c r="AN25" s="3">
        <f t="shared" si="9"/>
        <v>-41400349572</v>
      </c>
      <c r="AO25" s="11"/>
    </row>
    <row r="26" spans="1:47">
      <c r="A26" s="361" t="s">
        <v>4542</v>
      </c>
      <c r="B26" s="360">
        <f>C26*D26</f>
        <v>0</v>
      </c>
      <c r="C26" s="377">
        <v>0</v>
      </c>
      <c r="D26" s="361">
        <f>D44</f>
        <v>529</v>
      </c>
      <c r="E26" s="364">
        <f>B26*100/$C$68</f>
        <v>0</v>
      </c>
      <c r="F26" s="205"/>
      <c r="G26" s="2"/>
      <c r="H26" s="37"/>
      <c r="I26" t="s">
        <v>25</v>
      </c>
      <c r="J26" t="s">
        <v>25</v>
      </c>
      <c r="K26" s="475"/>
      <c r="L26" s="357" t="s">
        <v>4632</v>
      </c>
      <c r="M26" s="357" t="s">
        <v>4627</v>
      </c>
      <c r="N26" s="3">
        <v>-800000</v>
      </c>
      <c r="O26" s="208" t="s">
        <v>4361</v>
      </c>
      <c r="P26" s="208">
        <v>8334</v>
      </c>
      <c r="Q26" s="390">
        <v>239.97</v>
      </c>
      <c r="R26" s="390">
        <f t="shared" si="8"/>
        <v>1999909.98</v>
      </c>
      <c r="S26" s="208" t="s">
        <v>4316</v>
      </c>
      <c r="AC26" t="s">
        <v>25</v>
      </c>
      <c r="AI26" s="11">
        <v>7</v>
      </c>
      <c r="AJ26" s="3" t="s">
        <v>1097</v>
      </c>
      <c r="AK26" s="3">
        <v>18500000</v>
      </c>
      <c r="AL26" s="11">
        <v>1</v>
      </c>
      <c r="AM26" s="11">
        <f t="shared" si="10"/>
        <v>1430</v>
      </c>
      <c r="AN26" s="3">
        <f t="shared" si="9"/>
        <v>26455000000</v>
      </c>
      <c r="AO26" s="11"/>
    </row>
    <row r="27" spans="1:47">
      <c r="A27" s="361" t="s">
        <v>6891</v>
      </c>
      <c r="B27" s="360">
        <f>C27*D27</f>
        <v>0</v>
      </c>
      <c r="C27" s="377">
        <v>0</v>
      </c>
      <c r="D27" s="361">
        <f>D61</f>
        <v>1129</v>
      </c>
      <c r="E27" s="364">
        <f>B27*100/$C$68</f>
        <v>0</v>
      </c>
      <c r="F27" s="205"/>
      <c r="G27" s="2" t="s">
        <v>842</v>
      </c>
      <c r="H27" s="37">
        <v>4800000</v>
      </c>
      <c r="I27" s="368" t="s">
        <v>25</v>
      </c>
      <c r="J27" t="s">
        <v>25</v>
      </c>
      <c r="K27" s="475"/>
      <c r="L27" s="357" t="s">
        <v>4633</v>
      </c>
      <c r="M27" s="357" t="s">
        <v>4627</v>
      </c>
      <c r="N27" s="3">
        <v>-900000</v>
      </c>
      <c r="O27" s="357" t="s">
        <v>4122</v>
      </c>
      <c r="P27" s="357">
        <v>29041</v>
      </c>
      <c r="Q27" s="1">
        <v>233.45</v>
      </c>
      <c r="R27" s="1">
        <f t="shared" si="8"/>
        <v>6779621.4499999993</v>
      </c>
      <c r="S27" s="357" t="s">
        <v>690</v>
      </c>
      <c r="AI27" s="11">
        <v>8</v>
      </c>
      <c r="AJ27" s="3" t="s">
        <v>1106</v>
      </c>
      <c r="AK27" s="3">
        <v>-18550000</v>
      </c>
      <c r="AL27" s="11">
        <v>1</v>
      </c>
      <c r="AM27" s="11">
        <f t="shared" si="10"/>
        <v>1429</v>
      </c>
      <c r="AN27" s="3">
        <f t="shared" si="9"/>
        <v>-26507950000</v>
      </c>
      <c r="AO27" s="11"/>
    </row>
    <row r="28" spans="1:47">
      <c r="A28" s="19"/>
      <c r="B28" s="37"/>
      <c r="C28" s="345"/>
      <c r="D28" s="19"/>
      <c r="E28" s="548"/>
      <c r="F28" s="205"/>
      <c r="G28" s="2"/>
      <c r="H28" s="37"/>
      <c r="I28" s="368" t="s">
        <v>25</v>
      </c>
      <c r="J28" t="s">
        <v>25</v>
      </c>
      <c r="K28" s="475"/>
      <c r="L28" s="357" t="s">
        <v>4633</v>
      </c>
      <c r="M28" s="357" t="s">
        <v>901</v>
      </c>
      <c r="N28" s="3">
        <v>-1100000</v>
      </c>
      <c r="O28" s="208" t="s">
        <v>914</v>
      </c>
      <c r="P28" s="208">
        <v>12337</v>
      </c>
      <c r="Q28" s="390">
        <v>243.16300000000001</v>
      </c>
      <c r="R28" s="390">
        <f t="shared" si="8"/>
        <v>2999901.9310000003</v>
      </c>
      <c r="S28" s="208" t="s">
        <v>4316</v>
      </c>
      <c r="AA28" t="s">
        <v>25</v>
      </c>
      <c r="AI28" s="11">
        <v>9</v>
      </c>
      <c r="AJ28" s="3" t="s">
        <v>1113</v>
      </c>
      <c r="AK28" s="3">
        <v>-64961</v>
      </c>
      <c r="AL28" s="11">
        <v>5</v>
      </c>
      <c r="AM28" s="11">
        <f t="shared" si="10"/>
        <v>1428</v>
      </c>
      <c r="AN28" s="3">
        <f t="shared" si="9"/>
        <v>-92764308</v>
      </c>
      <c r="AO28" s="11"/>
    </row>
    <row r="29" spans="1:47">
      <c r="A29" s="365" t="s">
        <v>6758</v>
      </c>
      <c r="B29" s="366">
        <v>50000424</v>
      </c>
      <c r="C29" s="376" t="s">
        <v>857</v>
      </c>
      <c r="D29" s="365" t="s">
        <v>3843</v>
      </c>
      <c r="E29" s="364">
        <f>B29*100/$C$68</f>
        <v>0.18440756570100617</v>
      </c>
      <c r="F29" s="205"/>
      <c r="G29" s="2"/>
      <c r="H29" s="37"/>
      <c r="I29" s="368" t="s">
        <v>25</v>
      </c>
      <c r="J29" s="494"/>
      <c r="K29" s="475"/>
      <c r="L29" s="388" t="s">
        <v>1005</v>
      </c>
      <c r="M29" s="388" t="s">
        <v>4655</v>
      </c>
      <c r="N29" s="136">
        <v>30000000</v>
      </c>
      <c r="O29" s="357" t="s">
        <v>4422</v>
      </c>
      <c r="P29" s="357">
        <v>-16118</v>
      </c>
      <c r="Q29" s="1">
        <v>248.17</v>
      </c>
      <c r="R29" s="1">
        <f t="shared" si="8"/>
        <v>-4000004.0599999996</v>
      </c>
      <c r="S29" s="357" t="s">
        <v>690</v>
      </c>
      <c r="AI29" s="11">
        <v>10</v>
      </c>
      <c r="AJ29" s="3" t="s">
        <v>1129</v>
      </c>
      <c r="AK29" s="3">
        <v>6400000</v>
      </c>
      <c r="AL29" s="11">
        <v>1</v>
      </c>
      <c r="AM29" s="11">
        <f t="shared" si="10"/>
        <v>1423</v>
      </c>
      <c r="AN29" s="3">
        <f t="shared" si="9"/>
        <v>9107200000</v>
      </c>
      <c r="AO29" s="11"/>
    </row>
    <row r="30" spans="1:47">
      <c r="A30" s="365" t="s">
        <v>4188</v>
      </c>
      <c r="B30" s="366">
        <f t="shared" ref="B30:B39" si="12">C30*D30</f>
        <v>8788008730</v>
      </c>
      <c r="C30" s="376">
        <v>4174826</v>
      </c>
      <c r="D30" s="365">
        <f>D42</f>
        <v>2105</v>
      </c>
      <c r="E30" s="364">
        <f>B30*100/$C$68</f>
        <v>32.411231097930106</v>
      </c>
      <c r="F30" s="205"/>
      <c r="G30" s="2" t="s">
        <v>6877</v>
      </c>
      <c r="H30" s="37">
        <v>-11000000</v>
      </c>
      <c r="I30" s="368"/>
      <c r="J30" s="494" t="s">
        <v>25</v>
      </c>
      <c r="K30" s="475"/>
      <c r="L30" s="370" t="s">
        <v>4728</v>
      </c>
      <c r="M30" s="370" t="s">
        <v>4726</v>
      </c>
      <c r="N30" s="37">
        <v>2000000</v>
      </c>
      <c r="O30" s="357" t="s">
        <v>4442</v>
      </c>
      <c r="P30" s="357">
        <v>101681</v>
      </c>
      <c r="Q30" s="1">
        <v>246.5711</v>
      </c>
      <c r="R30" s="1">
        <f t="shared" si="8"/>
        <v>25071596.019099999</v>
      </c>
      <c r="S30" s="357" t="s">
        <v>422</v>
      </c>
      <c r="AA30" t="s">
        <v>25</v>
      </c>
      <c r="AI30" s="11">
        <v>11</v>
      </c>
      <c r="AJ30" s="3" t="s">
        <v>3968</v>
      </c>
      <c r="AK30" s="3">
        <v>-170000</v>
      </c>
      <c r="AL30" s="11">
        <v>5</v>
      </c>
      <c r="AM30" s="11">
        <f t="shared" si="10"/>
        <v>1422</v>
      </c>
      <c r="AN30" s="3">
        <f t="shared" si="9"/>
        <v>-241740000</v>
      </c>
      <c r="AO30" s="11"/>
    </row>
    <row r="31" spans="1:47">
      <c r="A31" s="365" t="s">
        <v>5139</v>
      </c>
      <c r="B31" s="366">
        <f t="shared" si="12"/>
        <v>0</v>
      </c>
      <c r="C31" s="376">
        <v>0</v>
      </c>
      <c r="D31" s="365">
        <f>D43</f>
        <v>854.30232558139528</v>
      </c>
      <c r="E31" s="364">
        <f>B31*100/$C$68</f>
        <v>0</v>
      </c>
      <c r="F31" s="205"/>
      <c r="G31" s="2"/>
      <c r="H31" s="2"/>
      <c r="I31" s="368"/>
      <c r="J31" s="494"/>
      <c r="L31" s="189" t="s">
        <v>4746</v>
      </c>
      <c r="M31" s="189" t="s">
        <v>4745</v>
      </c>
      <c r="N31" s="131">
        <v>480105</v>
      </c>
      <c r="O31" s="357" t="s">
        <v>4446</v>
      </c>
      <c r="P31" s="357">
        <v>66606</v>
      </c>
      <c r="Q31" s="1">
        <v>251.131</v>
      </c>
      <c r="R31" s="1">
        <f t="shared" si="8"/>
        <v>16726831.386</v>
      </c>
      <c r="S31" s="357" t="s">
        <v>690</v>
      </c>
      <c r="AI31" s="11">
        <v>12</v>
      </c>
      <c r="AJ31" s="3" t="s">
        <v>1149</v>
      </c>
      <c r="AK31" s="3">
        <v>-6300000</v>
      </c>
      <c r="AL31" s="11">
        <v>1</v>
      </c>
      <c r="AM31" s="11">
        <f>AM32+AL31</f>
        <v>1417</v>
      </c>
      <c r="AN31" s="3">
        <f t="shared" si="9"/>
        <v>-8927100000</v>
      </c>
      <c r="AO31" s="11"/>
    </row>
    <row r="32" spans="1:47">
      <c r="A32" s="365" t="s">
        <v>5594</v>
      </c>
      <c r="B32" s="366">
        <f t="shared" si="12"/>
        <v>0</v>
      </c>
      <c r="C32" s="323">
        <v>0</v>
      </c>
      <c r="D32" s="365">
        <f>'خرید و فروش نسبتی'!O20</f>
        <v>129</v>
      </c>
      <c r="E32" s="364">
        <f>B32*100/$C$68</f>
        <v>0</v>
      </c>
      <c r="F32" s="205"/>
      <c r="G32" s="48" t="s">
        <v>7060</v>
      </c>
      <c r="H32" s="37">
        <v>25000000</v>
      </c>
      <c r="I32" s="356" t="s">
        <v>25</v>
      </c>
      <c r="J32" s="494"/>
      <c r="L32" s="189"/>
      <c r="M32" s="189" t="s">
        <v>4786</v>
      </c>
      <c r="N32" s="131">
        <v>30500000</v>
      </c>
      <c r="O32" s="357" t="s">
        <v>4451</v>
      </c>
      <c r="P32" s="357">
        <v>172025</v>
      </c>
      <c r="Q32" s="1">
        <v>245.52809999999999</v>
      </c>
      <c r="R32" s="1">
        <f t="shared" si="8"/>
        <v>42236971.402499996</v>
      </c>
      <c r="S32" s="357" t="s">
        <v>422</v>
      </c>
      <c r="AI32" s="11">
        <v>13</v>
      </c>
      <c r="AJ32" s="3" t="s">
        <v>1158</v>
      </c>
      <c r="AK32" s="3">
        <v>-52015</v>
      </c>
      <c r="AL32" s="11">
        <v>16</v>
      </c>
      <c r="AM32" s="11">
        <f t="shared" si="10"/>
        <v>1416</v>
      </c>
      <c r="AN32" s="3">
        <f t="shared" si="9"/>
        <v>-73653240</v>
      </c>
      <c r="AO32" s="11"/>
      <c r="AU32" t="s">
        <v>25</v>
      </c>
    </row>
    <row r="33" spans="1:41">
      <c r="A33" s="365" t="s">
        <v>6932</v>
      </c>
      <c r="B33" s="366">
        <f t="shared" si="12"/>
        <v>0</v>
      </c>
      <c r="C33" s="376">
        <v>0</v>
      </c>
      <c r="D33" s="365">
        <f>IF(D49&gt;180,180,D49)</f>
        <v>129</v>
      </c>
      <c r="E33" s="364">
        <f>B33*100/$C$68</f>
        <v>0</v>
      </c>
      <c r="F33" s="367">
        <f>C33*'خرید و فروش نسبتی'!O15</f>
        <v>0</v>
      </c>
      <c r="G33" s="355" t="s">
        <v>6804</v>
      </c>
      <c r="H33" s="354"/>
      <c r="I33" t="s">
        <v>25</v>
      </c>
      <c r="L33" s="370" t="s">
        <v>4810</v>
      </c>
      <c r="M33" s="370" t="s">
        <v>4805</v>
      </c>
      <c r="N33" s="37">
        <v>-400000</v>
      </c>
      <c r="O33" s="357" t="s">
        <v>4451</v>
      </c>
      <c r="P33" s="357">
        <v>189227</v>
      </c>
      <c r="Q33" s="1">
        <v>245.52809999999999</v>
      </c>
      <c r="R33" s="1">
        <f t="shared" si="8"/>
        <v>46460545.778700002</v>
      </c>
      <c r="S33" s="357" t="s">
        <v>690</v>
      </c>
      <c r="AI33" s="11">
        <v>14</v>
      </c>
      <c r="AJ33" s="3" t="s">
        <v>3623</v>
      </c>
      <c r="AK33" s="3">
        <v>20017400</v>
      </c>
      <c r="AL33" s="11">
        <v>0</v>
      </c>
      <c r="AM33" s="11">
        <f t="shared" si="10"/>
        <v>1400</v>
      </c>
      <c r="AN33" s="3">
        <f t="shared" si="9"/>
        <v>28024360000</v>
      </c>
      <c r="AO33" s="11"/>
    </row>
    <row r="34" spans="1:41" ht="15" customHeight="1">
      <c r="A34" s="365" t="s">
        <v>6946</v>
      </c>
      <c r="B34" s="366">
        <f t="shared" si="12"/>
        <v>0</v>
      </c>
      <c r="C34" s="376">
        <v>0</v>
      </c>
      <c r="D34" s="365">
        <f>IF(D49&gt;180,180,D49)</f>
        <v>129</v>
      </c>
      <c r="E34" s="364">
        <f>B34*100/$C$68</f>
        <v>0</v>
      </c>
      <c r="F34" s="367">
        <f>C34*'خرید و فروش نسبتی'!O14</f>
        <v>0</v>
      </c>
      <c r="G34" s="2"/>
      <c r="H34" s="37"/>
      <c r="I34" s="368" t="s">
        <v>25</v>
      </c>
      <c r="L34" s="189" t="s">
        <v>4918</v>
      </c>
      <c r="M34" s="189" t="s">
        <v>4840</v>
      </c>
      <c r="N34" s="131">
        <v>-349550</v>
      </c>
      <c r="O34" s="357" t="s">
        <v>4452</v>
      </c>
      <c r="P34" s="357">
        <v>79720</v>
      </c>
      <c r="Q34" s="1">
        <v>246.6568</v>
      </c>
      <c r="R34" s="1">
        <f t="shared" si="8"/>
        <v>19663480.096000001</v>
      </c>
      <c r="S34" s="357" t="s">
        <v>422</v>
      </c>
      <c r="AI34" s="11">
        <v>15</v>
      </c>
      <c r="AJ34" s="3" t="s">
        <v>3623</v>
      </c>
      <c r="AK34" s="3">
        <v>1014466</v>
      </c>
      <c r="AL34" s="11">
        <v>12</v>
      </c>
      <c r="AM34" s="11">
        <f t="shared" si="10"/>
        <v>1400</v>
      </c>
      <c r="AN34" s="3">
        <f t="shared" si="9"/>
        <v>1420252400</v>
      </c>
      <c r="AO34" s="11"/>
    </row>
    <row r="35" spans="1:41">
      <c r="A35" s="365" t="s">
        <v>7025</v>
      </c>
      <c r="B35" s="366">
        <f t="shared" si="12"/>
        <v>0</v>
      </c>
      <c r="C35" s="376">
        <v>0</v>
      </c>
      <c r="D35" s="365">
        <f>IF(D49&gt;180,180,D49)</f>
        <v>129</v>
      </c>
      <c r="E35" s="364">
        <f>B35*100/$C$68</f>
        <v>0</v>
      </c>
      <c r="F35" s="205"/>
      <c r="G35" s="2"/>
      <c r="H35" s="37"/>
      <c r="I35" s="368" t="s">
        <v>25</v>
      </c>
      <c r="J35" s="500" t="s">
        <v>25</v>
      </c>
      <c r="L35" s="370" t="s">
        <v>4810</v>
      </c>
      <c r="M35" s="370" t="s">
        <v>4978</v>
      </c>
      <c r="N35" s="37">
        <v>-200000</v>
      </c>
      <c r="O35" s="357" t="s">
        <v>4452</v>
      </c>
      <c r="P35" s="357">
        <v>79720</v>
      </c>
      <c r="Q35" s="1">
        <v>246.6568</v>
      </c>
      <c r="R35" s="1">
        <f t="shared" si="8"/>
        <v>19663480.096000001</v>
      </c>
      <c r="S35" s="357" t="s">
        <v>690</v>
      </c>
      <c r="AA35" s="387" t="s">
        <v>25</v>
      </c>
      <c r="AI35" s="11">
        <v>16</v>
      </c>
      <c r="AJ35" s="3" t="s">
        <v>1061</v>
      </c>
      <c r="AK35" s="3">
        <v>360000</v>
      </c>
      <c r="AL35" s="11">
        <v>2</v>
      </c>
      <c r="AM35" s="11">
        <f t="shared" si="10"/>
        <v>1388</v>
      </c>
      <c r="AN35" s="3">
        <f t="shared" si="9"/>
        <v>499680000</v>
      </c>
      <c r="AO35" s="11"/>
    </row>
    <row r="36" spans="1:41">
      <c r="A36" s="365" t="s">
        <v>6938</v>
      </c>
      <c r="B36" s="366">
        <f t="shared" si="12"/>
        <v>0</v>
      </c>
      <c r="C36" s="376">
        <v>0</v>
      </c>
      <c r="D36" s="365">
        <f>IF(D49&gt;190,190,D49)</f>
        <v>129</v>
      </c>
      <c r="E36" s="364">
        <f>B36*100/$C$68</f>
        <v>0</v>
      </c>
      <c r="F36" s="205"/>
      <c r="G36" s="2"/>
      <c r="H36" s="37"/>
      <c r="I36" s="368"/>
      <c r="J36" s="500"/>
      <c r="L36" s="370" t="s">
        <v>4810</v>
      </c>
      <c r="M36" s="370" t="s">
        <v>5010</v>
      </c>
      <c r="N36" s="37">
        <v>-122000</v>
      </c>
      <c r="O36" s="357" t="s">
        <v>4473</v>
      </c>
      <c r="P36" s="357">
        <v>17769</v>
      </c>
      <c r="Q36" s="1">
        <v>246.17877999999999</v>
      </c>
      <c r="R36" s="1">
        <f t="shared" si="8"/>
        <v>4374350.7418200001</v>
      </c>
      <c r="S36" s="357" t="s">
        <v>690</v>
      </c>
      <c r="AI36" s="11">
        <v>17</v>
      </c>
      <c r="AJ36" s="3" t="s">
        <v>3683</v>
      </c>
      <c r="AK36" s="3">
        <v>-350000</v>
      </c>
      <c r="AL36" s="11">
        <v>0</v>
      </c>
      <c r="AM36" s="11">
        <f t="shared" si="10"/>
        <v>1386</v>
      </c>
      <c r="AN36" s="3">
        <f t="shared" si="9"/>
        <v>-485100000</v>
      </c>
      <c r="AO36" s="11"/>
    </row>
    <row r="37" spans="1:41">
      <c r="A37" s="365" t="s">
        <v>7036</v>
      </c>
      <c r="B37" s="366">
        <f t="shared" si="12"/>
        <v>0</v>
      </c>
      <c r="C37" s="376">
        <v>0</v>
      </c>
      <c r="D37" s="365">
        <f>IF($D$49&gt;180,180,$D$49)</f>
        <v>129</v>
      </c>
      <c r="E37" s="364">
        <f>B37*100/$C$68</f>
        <v>0</v>
      </c>
      <c r="F37" s="205"/>
      <c r="G37" s="2" t="s">
        <v>6775</v>
      </c>
      <c r="H37" s="37">
        <f>-435.55*D64</f>
        <v>-21777500</v>
      </c>
      <c r="I37" s="368" t="s">
        <v>25</v>
      </c>
      <c r="J37" s="500"/>
      <c r="L37" s="370" t="s">
        <v>4810</v>
      </c>
      <c r="M37" s="370" t="s">
        <v>5018</v>
      </c>
      <c r="N37" s="37">
        <v>-700000</v>
      </c>
      <c r="O37" s="357" t="s">
        <v>4473</v>
      </c>
      <c r="P37" s="357">
        <v>17769</v>
      </c>
      <c r="Q37" s="1">
        <v>246.17877999999999</v>
      </c>
      <c r="R37" s="1">
        <f t="shared" si="8"/>
        <v>4374350.7418200001</v>
      </c>
      <c r="S37" s="357" t="s">
        <v>422</v>
      </c>
      <c r="AI37" s="11">
        <v>18</v>
      </c>
      <c r="AJ37" s="3" t="s">
        <v>3683</v>
      </c>
      <c r="AK37" s="3">
        <v>1000</v>
      </c>
      <c r="AL37" s="11">
        <v>1</v>
      </c>
      <c r="AM37" s="11">
        <f t="shared" si="10"/>
        <v>1386</v>
      </c>
      <c r="AN37" s="3">
        <f t="shared" si="9"/>
        <v>1386000</v>
      </c>
      <c r="AO37" s="11"/>
    </row>
    <row r="38" spans="1:41">
      <c r="A38" s="365" t="s">
        <v>4542</v>
      </c>
      <c r="B38" s="366">
        <f t="shared" si="12"/>
        <v>264500000</v>
      </c>
      <c r="C38" s="376">
        <v>500000</v>
      </c>
      <c r="D38" s="365">
        <f>D44</f>
        <v>529</v>
      </c>
      <c r="E38" s="364">
        <f>B38*100/$C$68</f>
        <v>0.9755077502526005</v>
      </c>
      <c r="F38" s="205"/>
      <c r="G38" s="310" t="s">
        <v>6738</v>
      </c>
      <c r="H38" s="37">
        <f>-50*D63</f>
        <v>-143000000</v>
      </c>
      <c r="I38" s="368"/>
      <c r="J38" s="500"/>
      <c r="L38" s="370" t="s">
        <v>4810</v>
      </c>
      <c r="M38" s="370" t="s">
        <v>5028</v>
      </c>
      <c r="N38" s="37">
        <v>-60000</v>
      </c>
      <c r="O38" s="208" t="s">
        <v>4475</v>
      </c>
      <c r="P38" s="208">
        <v>12438</v>
      </c>
      <c r="Q38" s="390">
        <v>241.20465999999999</v>
      </c>
      <c r="R38" s="390">
        <f t="shared" si="8"/>
        <v>3000103.5610799999</v>
      </c>
      <c r="S38" s="208" t="s">
        <v>4316</v>
      </c>
      <c r="AB38" s="356"/>
      <c r="AC38" s="356"/>
      <c r="AI38" s="11">
        <v>19</v>
      </c>
      <c r="AJ38" s="3" t="s">
        <v>3687</v>
      </c>
      <c r="AK38" s="3">
        <v>33610000</v>
      </c>
      <c r="AL38" s="11">
        <v>4</v>
      </c>
      <c r="AM38" s="11">
        <f t="shared" si="10"/>
        <v>1385</v>
      </c>
      <c r="AN38" s="3">
        <f t="shared" si="9"/>
        <v>46549850000</v>
      </c>
      <c r="AO38" s="11"/>
    </row>
    <row r="39" spans="1:41">
      <c r="A39" s="365" t="s">
        <v>6891</v>
      </c>
      <c r="B39" s="366">
        <f t="shared" si="12"/>
        <v>0</v>
      </c>
      <c r="C39" s="376">
        <v>0</v>
      </c>
      <c r="D39" s="365">
        <f>D61</f>
        <v>1129</v>
      </c>
      <c r="E39" s="364">
        <f>B39*100/$C$68</f>
        <v>0</v>
      </c>
      <c r="F39" s="205"/>
      <c r="G39" s="48" t="s">
        <v>7063</v>
      </c>
      <c r="H39" s="37">
        <v>1939117</v>
      </c>
      <c r="I39" s="368"/>
      <c r="J39" s="500"/>
      <c r="L39" s="370" t="s">
        <v>4316</v>
      </c>
      <c r="M39" s="370" t="s">
        <v>5087</v>
      </c>
      <c r="N39" s="37">
        <v>700000</v>
      </c>
      <c r="O39" s="357" t="s">
        <v>4484</v>
      </c>
      <c r="P39" s="357">
        <v>27363</v>
      </c>
      <c r="Q39" s="1">
        <v>239.3886</v>
      </c>
      <c r="R39" s="1">
        <f t="shared" si="8"/>
        <v>6550390.2617999995</v>
      </c>
      <c r="S39" s="357" t="s">
        <v>690</v>
      </c>
      <c r="AB39" s="356"/>
      <c r="AC39" s="356"/>
      <c r="AI39" s="11">
        <v>20</v>
      </c>
      <c r="AJ39" s="3" t="s">
        <v>3969</v>
      </c>
      <c r="AK39" s="3">
        <v>-15600000</v>
      </c>
      <c r="AL39" s="11">
        <v>3</v>
      </c>
      <c r="AM39" s="11">
        <f t="shared" si="10"/>
        <v>1381</v>
      </c>
      <c r="AN39" s="3">
        <f t="shared" si="9"/>
        <v>-21543600000</v>
      </c>
      <c r="AO39" s="11"/>
    </row>
    <row r="40" spans="1:41">
      <c r="A40" s="354"/>
      <c r="B40" s="354"/>
      <c r="C40" s="354"/>
      <c r="D40" s="354"/>
      <c r="E40" s="548"/>
      <c r="F40" s="354"/>
      <c r="G40" s="48"/>
      <c r="H40" s="37"/>
      <c r="I40" s="368"/>
      <c r="J40" s="500"/>
      <c r="L40" s="189" t="s">
        <v>1005</v>
      </c>
      <c r="M40" s="189" t="s">
        <v>5106</v>
      </c>
      <c r="N40" s="131">
        <v>40000000</v>
      </c>
      <c r="O40" s="357" t="s">
        <v>4484</v>
      </c>
      <c r="P40" s="357">
        <v>27363</v>
      </c>
      <c r="Q40" s="1">
        <v>239.3886</v>
      </c>
      <c r="R40" s="1">
        <f t="shared" si="8"/>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6728</v>
      </c>
      <c r="B41" s="359">
        <v>240936335</v>
      </c>
      <c r="C41" s="359"/>
      <c r="D41" s="363" t="s">
        <v>25</v>
      </c>
      <c r="E41" s="364">
        <f>B41*100/$C$68</f>
        <v>0.88860212517942105</v>
      </c>
      <c r="F41" s="205"/>
      <c r="G41" s="2"/>
      <c r="H41" s="37"/>
      <c r="I41" s="368"/>
      <c r="J41" s="500"/>
      <c r="L41" s="370" t="s">
        <v>4316</v>
      </c>
      <c r="M41" s="370" t="s">
        <v>5110</v>
      </c>
      <c r="N41" s="37">
        <v>-800000</v>
      </c>
      <c r="O41" s="357" t="s">
        <v>4486</v>
      </c>
      <c r="P41" s="357">
        <v>27437</v>
      </c>
      <c r="Q41" s="1">
        <v>242.4015</v>
      </c>
      <c r="R41" s="1">
        <f t="shared" si="8"/>
        <v>6650769.9555000002</v>
      </c>
      <c r="S41" s="357" t="s">
        <v>690</v>
      </c>
      <c r="AB41" s="356"/>
      <c r="AC41" s="356"/>
      <c r="AI41" s="11">
        <v>22</v>
      </c>
      <c r="AJ41" s="3" t="s">
        <v>3970</v>
      </c>
      <c r="AK41" s="3">
        <v>-98000</v>
      </c>
      <c r="AL41" s="11">
        <v>1</v>
      </c>
      <c r="AM41" s="11">
        <f t="shared" si="10"/>
        <v>1374</v>
      </c>
      <c r="AN41" s="3">
        <f t="shared" si="9"/>
        <v>-134652000</v>
      </c>
      <c r="AO41" s="11"/>
    </row>
    <row r="42" spans="1:41">
      <c r="A42" s="363" t="s">
        <v>4075</v>
      </c>
      <c r="B42" s="359">
        <f t="shared" ref="B42:B64" si="13">C42*D42</f>
        <v>10420819340</v>
      </c>
      <c r="C42" s="378">
        <v>4950508</v>
      </c>
      <c r="D42" s="363">
        <f>'خرید و فروش نسبتی'!O22</f>
        <v>2105</v>
      </c>
      <c r="E42" s="364">
        <f>B42*100/$C$68</f>
        <v>38.433232628174629</v>
      </c>
      <c r="F42" s="205"/>
      <c r="G42" s="2" t="s">
        <v>6910</v>
      </c>
      <c r="H42" s="37"/>
      <c r="I42" t="s">
        <v>25</v>
      </c>
      <c r="J42" s="500"/>
      <c r="L42" s="357" t="s">
        <v>4316</v>
      </c>
      <c r="M42" s="357" t="s">
        <v>5192</v>
      </c>
      <c r="N42" s="37">
        <v>700000</v>
      </c>
      <c r="O42" s="357" t="s">
        <v>4486</v>
      </c>
      <c r="P42" s="357">
        <v>29104</v>
      </c>
      <c r="Q42" s="1">
        <v>242.4015</v>
      </c>
      <c r="R42" s="1">
        <f t="shared" si="8"/>
        <v>7054853.2560000001</v>
      </c>
      <c r="S42" s="357" t="s">
        <v>422</v>
      </c>
      <c r="AB42" s="356"/>
      <c r="AC42" s="356"/>
      <c r="AI42" s="11">
        <v>23</v>
      </c>
      <c r="AJ42" s="3" t="s">
        <v>3964</v>
      </c>
      <c r="AK42" s="3">
        <v>-26000000</v>
      </c>
      <c r="AL42" s="11">
        <v>0</v>
      </c>
      <c r="AM42" s="11">
        <f t="shared" si="10"/>
        <v>1373</v>
      </c>
      <c r="AN42" s="3">
        <f t="shared" si="9"/>
        <v>-35698000000</v>
      </c>
      <c r="AO42" s="11"/>
    </row>
    <row r="43" spans="1:41">
      <c r="A43" s="363" t="s">
        <v>5139</v>
      </c>
      <c r="B43" s="359">
        <f t="shared" si="13"/>
        <v>8543.0232558139523</v>
      </c>
      <c r="C43" s="378">
        <v>10</v>
      </c>
      <c r="D43" s="363">
        <f>'خرید و فروش نسبتی'!O23</f>
        <v>854.30232558139528</v>
      </c>
      <c r="E43" s="364">
        <f>B43*100/$C$68</f>
        <v>3.150769526137888E-5</v>
      </c>
      <c r="F43" s="205"/>
      <c r="G43" s="11"/>
      <c r="H43" s="37"/>
      <c r="I43" s="368"/>
      <c r="J43" s="500" t="s">
        <v>25</v>
      </c>
      <c r="L43" s="189" t="s">
        <v>5208</v>
      </c>
      <c r="M43" s="189" t="s">
        <v>5206</v>
      </c>
      <c r="N43" s="131">
        <v>-26000000</v>
      </c>
      <c r="O43" s="357" t="s">
        <v>4499</v>
      </c>
      <c r="P43" s="357">
        <v>8991</v>
      </c>
      <c r="Q43" s="1">
        <v>238.64867000000001</v>
      </c>
      <c r="R43" s="1">
        <f t="shared" si="8"/>
        <v>2145690.19197</v>
      </c>
      <c r="S43" s="357" t="s">
        <v>690</v>
      </c>
      <c r="AB43" s="356"/>
      <c r="AC43" s="356"/>
      <c r="AI43" s="11">
        <v>24</v>
      </c>
      <c r="AJ43" s="3" t="s">
        <v>3964</v>
      </c>
      <c r="AK43" s="3">
        <v>25000000</v>
      </c>
      <c r="AL43" s="11">
        <v>1</v>
      </c>
      <c r="AM43" s="11">
        <f t="shared" si="10"/>
        <v>1373</v>
      </c>
      <c r="AN43" s="3">
        <f t="shared" si="9"/>
        <v>34325000000</v>
      </c>
      <c r="AO43" s="11"/>
    </row>
    <row r="44" spans="1:41">
      <c r="A44" s="363" t="s">
        <v>4542</v>
      </c>
      <c r="B44" s="359">
        <f t="shared" si="13"/>
        <v>290950000</v>
      </c>
      <c r="C44" s="378">
        <v>550000</v>
      </c>
      <c r="D44" s="363">
        <f>'خرید و فروش نسبتی'!O24</f>
        <v>529</v>
      </c>
      <c r="E44" s="364">
        <f>B44*100/$C$68</f>
        <v>1.0730585252778606</v>
      </c>
      <c r="F44" s="205"/>
      <c r="G44" s="11"/>
      <c r="H44" s="37"/>
      <c r="J44" s="500"/>
      <c r="L44" s="189" t="s">
        <v>5208</v>
      </c>
      <c r="M44" s="189" t="s">
        <v>5210</v>
      </c>
      <c r="N44" s="131">
        <v>-95900000</v>
      </c>
      <c r="O44" s="357" t="s">
        <v>4499</v>
      </c>
      <c r="P44" s="357">
        <v>8991</v>
      </c>
      <c r="Q44" s="1">
        <v>238.64867000000001</v>
      </c>
      <c r="R44" s="1">
        <f t="shared" si="8"/>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63" t="s">
        <v>5153</v>
      </c>
      <c r="B45" s="359">
        <f t="shared" si="13"/>
        <v>0</v>
      </c>
      <c r="C45" s="378">
        <v>0</v>
      </c>
      <c r="D45" s="363">
        <f>'خرید و فروش نسبتی'!O28</f>
        <v>222.8</v>
      </c>
      <c r="E45" s="364">
        <f>B45*100/$C$68</f>
        <v>0</v>
      </c>
      <c r="F45" s="486"/>
      <c r="G45" s="2"/>
      <c r="H45" s="37"/>
      <c r="J45" s="500"/>
      <c r="L45" s="189" t="s">
        <v>5208</v>
      </c>
      <c r="M45" s="189" t="s">
        <v>5211</v>
      </c>
      <c r="N45" s="131">
        <v>-28950000</v>
      </c>
      <c r="O45" s="357" t="s">
        <v>4509</v>
      </c>
      <c r="P45" s="357">
        <v>18170</v>
      </c>
      <c r="Q45" s="1">
        <v>240.48475999999999</v>
      </c>
      <c r="R45" s="1">
        <f t="shared" si="8"/>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63" t="s">
        <v>6921</v>
      </c>
      <c r="B46" s="359">
        <f t="shared" si="13"/>
        <v>300468450</v>
      </c>
      <c r="C46" s="323">
        <v>141065</v>
      </c>
      <c r="D46" s="363">
        <f>'خرید و فروش نسبتی'!O18</f>
        <v>2130</v>
      </c>
      <c r="E46" s="364">
        <f>B46*100/$C$68</f>
        <v>1.1081637114608165</v>
      </c>
      <c r="F46" s="486"/>
      <c r="G46" s="2"/>
      <c r="H46" s="37"/>
      <c r="I46" t="s">
        <v>25</v>
      </c>
      <c r="J46" s="500"/>
      <c r="L46" s="189" t="s">
        <v>5225</v>
      </c>
      <c r="M46" s="189" t="s">
        <v>5223</v>
      </c>
      <c r="N46" s="131">
        <v>1896188</v>
      </c>
      <c r="O46" s="357" t="s">
        <v>4509</v>
      </c>
      <c r="P46" s="357">
        <v>18170</v>
      </c>
      <c r="Q46" s="1">
        <v>240.48475999999999</v>
      </c>
      <c r="R46" s="1">
        <f t="shared" si="8"/>
        <v>4369608.0892000003</v>
      </c>
      <c r="S46" s="357" t="s">
        <v>422</v>
      </c>
      <c r="AB46" s="356"/>
      <c r="AC46" s="356"/>
      <c r="AI46" s="11">
        <v>27</v>
      </c>
      <c r="AJ46" s="3" t="s">
        <v>3801</v>
      </c>
      <c r="AK46" s="3">
        <v>450000</v>
      </c>
      <c r="AL46" s="11">
        <v>6</v>
      </c>
      <c r="AM46" s="11">
        <f t="shared" si="10"/>
        <v>1364</v>
      </c>
      <c r="AN46" s="3">
        <f t="shared" si="9"/>
        <v>613800000</v>
      </c>
      <c r="AO46" s="11"/>
    </row>
    <row r="47" spans="1:41">
      <c r="A47" s="363" t="s">
        <v>7065</v>
      </c>
      <c r="B47" s="359">
        <f t="shared" si="13"/>
        <v>1465440000</v>
      </c>
      <c r="C47" s="378">
        <v>688000</v>
      </c>
      <c r="D47" s="363">
        <f>IF(D46&gt;2800,2800,D46)</f>
        <v>2130</v>
      </c>
      <c r="E47" s="364">
        <f>B47*100/$C$68</f>
        <v>5.4047186296036704</v>
      </c>
      <c r="F47" s="486"/>
      <c r="G47" s="354"/>
      <c r="H47" s="37"/>
      <c r="I47" t="s">
        <v>25</v>
      </c>
      <c r="J47" s="500"/>
      <c r="L47" s="189" t="s">
        <v>5369</v>
      </c>
      <c r="M47" s="189" t="s">
        <v>4127</v>
      </c>
      <c r="N47" s="131">
        <v>13752871.322800001</v>
      </c>
      <c r="O47" s="357" t="s">
        <v>4511</v>
      </c>
      <c r="P47" s="357">
        <v>36797</v>
      </c>
      <c r="Q47" s="1">
        <v>239.0822</v>
      </c>
      <c r="R47" s="1">
        <f t="shared" si="8"/>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63" t="s">
        <v>7066</v>
      </c>
      <c r="B48" s="359">
        <f t="shared" si="13"/>
        <v>719940000</v>
      </c>
      <c r="C48" s="378">
        <v>338000</v>
      </c>
      <c r="D48" s="363">
        <f>IF(D46&gt;2600,260,D46)</f>
        <v>2130</v>
      </c>
      <c r="E48" s="364">
        <f>B48*100/$C$68</f>
        <v>2.6552251407064542</v>
      </c>
      <c r="F48" s="486" t="s">
        <v>25</v>
      </c>
      <c r="G48" s="354"/>
      <c r="H48" s="37"/>
      <c r="I48" t="s">
        <v>25</v>
      </c>
      <c r="J48" s="500"/>
      <c r="L48" s="370" t="s">
        <v>5379</v>
      </c>
      <c r="M48" s="370" t="s">
        <v>5377</v>
      </c>
      <c r="N48" s="37">
        <v>3123901.3702000002</v>
      </c>
      <c r="O48" s="357" t="s">
        <v>4511</v>
      </c>
      <c r="P48" s="357">
        <v>36797</v>
      </c>
      <c r="Q48" s="1">
        <v>239.0822</v>
      </c>
      <c r="R48" s="1">
        <f t="shared" si="8"/>
        <v>8797507.7134000007</v>
      </c>
      <c r="S48" s="357" t="s">
        <v>422</v>
      </c>
      <c r="AB48" s="356"/>
      <c r="AC48" s="356"/>
      <c r="AI48" s="11">
        <v>29</v>
      </c>
      <c r="AJ48" s="3" t="s">
        <v>3826</v>
      </c>
      <c r="AK48" s="3">
        <v>-1500000</v>
      </c>
      <c r="AL48" s="11">
        <v>0</v>
      </c>
      <c r="AM48" s="11">
        <f t="shared" si="10"/>
        <v>1357</v>
      </c>
      <c r="AN48" s="3">
        <f t="shared" si="9"/>
        <v>-2035500000</v>
      </c>
      <c r="AO48" s="11"/>
    </row>
    <row r="49" spans="1:42">
      <c r="A49" s="513" t="s">
        <v>5594</v>
      </c>
      <c r="B49" s="359">
        <f t="shared" si="13"/>
        <v>250640292</v>
      </c>
      <c r="C49" s="323">
        <v>1942948</v>
      </c>
      <c r="D49" s="363">
        <f>'خرید و فروش نسبتی'!O20</f>
        <v>129</v>
      </c>
      <c r="E49" s="364">
        <f>B49*100/$C$68</f>
        <v>0.92439148344640776</v>
      </c>
      <c r="F49" s="486"/>
      <c r="G49" s="354"/>
      <c r="H49" s="37"/>
      <c r="J49" s="500"/>
      <c r="L49" s="189" t="s">
        <v>5642</v>
      </c>
      <c r="M49" s="189" t="s">
        <v>5434</v>
      </c>
      <c r="N49" s="131">
        <v>-322076.40905199997</v>
      </c>
      <c r="O49" s="357" t="s">
        <v>4520</v>
      </c>
      <c r="P49" s="357">
        <v>28066</v>
      </c>
      <c r="Q49" s="1">
        <v>237.56970000000001</v>
      </c>
      <c r="R49" s="1">
        <f t="shared" si="8"/>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513" t="s">
        <v>6932</v>
      </c>
      <c r="B50" s="359">
        <f t="shared" si="13"/>
        <v>0</v>
      </c>
      <c r="C50" s="378">
        <v>0</v>
      </c>
      <c r="D50" s="363">
        <f>IF(D49&gt;180,180,D49)</f>
        <v>129</v>
      </c>
      <c r="E50" s="364">
        <f>B50*100/$C$68</f>
        <v>0</v>
      </c>
      <c r="F50" s="486"/>
      <c r="G50" s="354"/>
      <c r="H50" s="37"/>
      <c r="I50" s="35"/>
      <c r="J50" s="500"/>
      <c r="L50" s="370" t="s">
        <v>4810</v>
      </c>
      <c r="M50" s="370" t="s">
        <v>5434</v>
      </c>
      <c r="N50" s="37">
        <v>-1500000</v>
      </c>
      <c r="O50" s="357" t="s">
        <v>4520</v>
      </c>
      <c r="P50" s="357">
        <v>28066</v>
      </c>
      <c r="Q50" s="1">
        <v>237.56970000000001</v>
      </c>
      <c r="R50" s="1">
        <f t="shared" si="8"/>
        <v>6667631.2002000008</v>
      </c>
      <c r="S50" s="357" t="s">
        <v>422</v>
      </c>
      <c r="AB50" s="356"/>
      <c r="AC50" s="356"/>
      <c r="AI50" s="11">
        <v>31</v>
      </c>
      <c r="AJ50" s="3" t="s">
        <v>3850</v>
      </c>
      <c r="AK50" s="3">
        <v>-8299612</v>
      </c>
      <c r="AL50" s="11">
        <v>2</v>
      </c>
      <c r="AM50" s="11">
        <f t="shared" si="10"/>
        <v>1354</v>
      </c>
      <c r="AN50" s="3">
        <f t="shared" si="9"/>
        <v>-11237674648</v>
      </c>
      <c r="AO50" s="11"/>
    </row>
    <row r="51" spans="1:42">
      <c r="A51" s="513" t="s">
        <v>6946</v>
      </c>
      <c r="B51" s="359">
        <f t="shared" si="13"/>
        <v>0</v>
      </c>
      <c r="C51" s="378">
        <v>0</v>
      </c>
      <c r="D51" s="363">
        <f>IF(D49&gt;180,180,D49)</f>
        <v>129</v>
      </c>
      <c r="E51" s="364">
        <f>B51*100/$C$68</f>
        <v>0</v>
      </c>
      <c r="F51" s="367">
        <f>'برنامه 5 ساله'!C51*'خرید و فروش نسبتی'!O14</f>
        <v>0</v>
      </c>
      <c r="G51" s="2"/>
      <c r="H51" s="37"/>
      <c r="I51" s="35"/>
      <c r="L51" s="189" t="s">
        <v>5447</v>
      </c>
      <c r="M51" s="189" t="s">
        <v>5434</v>
      </c>
      <c r="N51" s="131">
        <v>15000000</v>
      </c>
      <c r="O51" s="357" t="s">
        <v>3599</v>
      </c>
      <c r="P51" s="357">
        <v>37457</v>
      </c>
      <c r="Q51" s="1">
        <v>239.77</v>
      </c>
      <c r="R51" s="1">
        <f t="shared" si="8"/>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513" t="s">
        <v>7059</v>
      </c>
      <c r="B52" s="359">
        <f t="shared" si="13"/>
        <v>6450000</v>
      </c>
      <c r="C52" s="378">
        <v>50000</v>
      </c>
      <c r="D52" s="143">
        <f>IF($D$49&gt;180,180,$D$49)</f>
        <v>129</v>
      </c>
      <c r="E52" s="438">
        <f>B52*100/$C$68</f>
        <v>2.3788374250016155E-2</v>
      </c>
      <c r="F52" s="486"/>
      <c r="G52" s="48" t="s">
        <v>5354</v>
      </c>
      <c r="H52" s="37"/>
      <c r="I52" s="35"/>
      <c r="L52" s="189" t="s">
        <v>5457</v>
      </c>
      <c r="M52" s="189" t="s">
        <v>5454</v>
      </c>
      <c r="N52" s="131">
        <v>-1500000</v>
      </c>
      <c r="O52" s="357" t="s">
        <v>3599</v>
      </c>
      <c r="P52" s="357">
        <v>37457</v>
      </c>
      <c r="Q52" s="1">
        <v>239.77</v>
      </c>
      <c r="R52" s="1">
        <f t="shared" si="8"/>
        <v>8981064.8900000006</v>
      </c>
      <c r="S52" s="357" t="s">
        <v>422</v>
      </c>
      <c r="AB52" s="356"/>
      <c r="AC52" s="356"/>
      <c r="AI52" s="11">
        <v>33</v>
      </c>
      <c r="AJ52" s="3" t="s">
        <v>910</v>
      </c>
      <c r="AK52" s="3">
        <v>-90000</v>
      </c>
      <c r="AL52" s="11">
        <v>1</v>
      </c>
      <c r="AM52" s="11">
        <f>AN53+AL52</f>
        <v>1338</v>
      </c>
      <c r="AN52" s="3">
        <f t="shared" si="9"/>
        <v>-120420000</v>
      </c>
      <c r="AO52" s="11"/>
    </row>
    <row r="53" spans="1:42">
      <c r="A53" s="513" t="s">
        <v>7025</v>
      </c>
      <c r="B53" s="359">
        <f t="shared" si="13"/>
        <v>14448000</v>
      </c>
      <c r="C53" s="378">
        <v>112000</v>
      </c>
      <c r="D53" s="363">
        <f>IF($D$49&gt;170,170,$D$49)</f>
        <v>129</v>
      </c>
      <c r="E53" s="364">
        <f>B53*100/$C$68</f>
        <v>5.3285958320036186E-2</v>
      </c>
      <c r="F53" s="486"/>
      <c r="G53" s="475"/>
      <c r="H53" s="475"/>
      <c r="I53" s="35"/>
      <c r="L53" s="189" t="s">
        <v>5520</v>
      </c>
      <c r="M53" s="189" t="s">
        <v>5518</v>
      </c>
      <c r="N53" s="131">
        <v>-70000</v>
      </c>
      <c r="O53" s="357" t="s">
        <v>4531</v>
      </c>
      <c r="P53" s="357">
        <v>38412</v>
      </c>
      <c r="Q53" s="1">
        <v>239.03</v>
      </c>
      <c r="R53" s="1">
        <f t="shared" si="8"/>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513" t="s">
        <v>7052</v>
      </c>
      <c r="B54" s="359">
        <f t="shared" si="13"/>
        <v>0</v>
      </c>
      <c r="C54" s="378">
        <v>0</v>
      </c>
      <c r="D54" s="363">
        <f>IF($D$49&gt;150,150,$D$49)</f>
        <v>129</v>
      </c>
      <c r="E54" s="364">
        <f>B54*100/$C$68</f>
        <v>0</v>
      </c>
      <c r="F54" s="486"/>
      <c r="G54" s="2" t="s">
        <v>4378</v>
      </c>
      <c r="H54" s="2" t="s">
        <v>4488</v>
      </c>
      <c r="I54" s="28" t="s">
        <v>4490</v>
      </c>
      <c r="J54" s="28" t="s">
        <v>4465</v>
      </c>
      <c r="K54" s="151" t="s">
        <v>4466</v>
      </c>
      <c r="L54" s="189" t="s">
        <v>5526</v>
      </c>
      <c r="M54" s="189" t="s">
        <v>5524</v>
      </c>
      <c r="N54" s="131">
        <v>1300000</v>
      </c>
      <c r="O54" s="357" t="s">
        <v>4531</v>
      </c>
      <c r="P54" s="357">
        <v>38412</v>
      </c>
      <c r="Q54" s="1">
        <v>239.03</v>
      </c>
      <c r="R54" s="1">
        <f t="shared" si="8"/>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496" t="s">
        <v>7036</v>
      </c>
      <c r="B55" s="359">
        <f t="shared" si="13"/>
        <v>0</v>
      </c>
      <c r="C55" s="378">
        <v>0</v>
      </c>
      <c r="D55" s="363">
        <f>IF(D49&gt;180,180,D49)</f>
        <v>129</v>
      </c>
      <c r="E55" s="364">
        <f>B55*100/$C$68</f>
        <v>0</v>
      </c>
      <c r="F55" s="486"/>
      <c r="G55" s="143" t="s">
        <v>4134</v>
      </c>
      <c r="H55" s="137">
        <v>790</v>
      </c>
      <c r="I55" s="144">
        <f>H55*$I$63</f>
        <v>22594000000</v>
      </c>
      <c r="J55" s="144">
        <f>B30+B21+B42</f>
        <v>19234488020</v>
      </c>
      <c r="K55" s="473">
        <f>I55-J55</f>
        <v>3359511980</v>
      </c>
      <c r="L55" s="189" t="s">
        <v>60</v>
      </c>
      <c r="M55" s="189" t="s">
        <v>5532</v>
      </c>
      <c r="N55" s="131">
        <v>90000000</v>
      </c>
      <c r="O55" s="357" t="s">
        <v>4533</v>
      </c>
      <c r="P55" s="357">
        <v>49555</v>
      </c>
      <c r="Q55" s="1">
        <v>238.345</v>
      </c>
      <c r="R55" s="1">
        <f t="shared" si="8"/>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515" t="s">
        <v>6931</v>
      </c>
      <c r="B56" s="359">
        <f t="shared" si="13"/>
        <v>0</v>
      </c>
      <c r="C56" s="378">
        <v>0</v>
      </c>
      <c r="D56" s="363">
        <f>IF($D$49&gt;160,160,$D$49)</f>
        <v>129</v>
      </c>
      <c r="E56" s="364">
        <f>B56*100/$C$68</f>
        <v>0</v>
      </c>
      <c r="F56" s="486" t="s">
        <v>25</v>
      </c>
      <c r="G56" s="28" t="s">
        <v>5139</v>
      </c>
      <c r="H56" s="2">
        <v>254</v>
      </c>
      <c r="I56" s="1">
        <f>H56*$I$63</f>
        <v>7264400000</v>
      </c>
      <c r="J56" s="1">
        <f>B43+B22+B31</f>
        <v>8543.0232558139523</v>
      </c>
      <c r="K56" s="59">
        <f>I56-J56</f>
        <v>7264391456.9767447</v>
      </c>
      <c r="L56" s="189" t="s">
        <v>5603</v>
      </c>
      <c r="M56" s="189" t="s">
        <v>5600</v>
      </c>
      <c r="N56" s="131">
        <v>33832510.64875</v>
      </c>
      <c r="O56" s="357" t="s">
        <v>4533</v>
      </c>
      <c r="P56" s="357">
        <v>49555</v>
      </c>
      <c r="Q56" s="1">
        <v>238.345</v>
      </c>
      <c r="R56" s="1">
        <f t="shared" si="8"/>
        <v>11811186.475</v>
      </c>
      <c r="S56" s="357" t="s">
        <v>422</v>
      </c>
      <c r="AB56" s="356"/>
      <c r="AC56" s="356"/>
      <c r="AJ56" s="11">
        <v>37</v>
      </c>
      <c r="AK56" s="3" t="s">
        <v>3904</v>
      </c>
      <c r="AL56" s="3">
        <v>4100000</v>
      </c>
      <c r="AM56" s="11">
        <v>0</v>
      </c>
      <c r="AN56" s="11">
        <f t="shared" si="10"/>
        <v>1329</v>
      </c>
      <c r="AO56" s="3">
        <f t="shared" si="9"/>
        <v>5448900000</v>
      </c>
      <c r="AP56" s="11"/>
    </row>
    <row r="57" spans="1:42">
      <c r="A57" s="496" t="s">
        <v>7077</v>
      </c>
      <c r="B57" s="359">
        <f>C57*D57</f>
        <v>0</v>
      </c>
      <c r="C57" s="378">
        <v>0</v>
      </c>
      <c r="D57" s="363">
        <f>IF(D49&gt;150,150,D49)</f>
        <v>129</v>
      </c>
      <c r="E57" s="364">
        <f>B57*100/$C$68</f>
        <v>0</v>
      </c>
      <c r="F57" s="486" t="s">
        <v>25</v>
      </c>
      <c r="G57" s="143" t="s">
        <v>6645</v>
      </c>
      <c r="H57" s="137"/>
      <c r="I57" s="144">
        <v>0</v>
      </c>
      <c r="J57" s="144" t="e">
        <f>B5+B13+B14+B32+B23+B49+B50+B56+B58+B62+#REF!</f>
        <v>#REF!</v>
      </c>
      <c r="K57" s="473" t="e">
        <f>I57-J57</f>
        <v>#REF!</v>
      </c>
      <c r="L57" s="189" t="s">
        <v>5617</v>
      </c>
      <c r="M57" s="189" t="s">
        <v>5615</v>
      </c>
      <c r="N57" s="131">
        <v>21634932</v>
      </c>
      <c r="O57" s="357" t="s">
        <v>4545</v>
      </c>
      <c r="P57" s="357">
        <v>160187</v>
      </c>
      <c r="Q57" s="1">
        <v>257.49799999999999</v>
      </c>
      <c r="R57" s="1">
        <f t="shared" si="8"/>
        <v>41247832.126000002</v>
      </c>
      <c r="S57" s="357" t="s">
        <v>690</v>
      </c>
      <c r="AB57" s="356"/>
      <c r="AC57" s="356"/>
      <c r="AJ57" s="11">
        <v>38</v>
      </c>
      <c r="AK57" s="3" t="s">
        <v>3910</v>
      </c>
      <c r="AL57" s="3">
        <v>4100000</v>
      </c>
      <c r="AM57" s="11">
        <v>1</v>
      </c>
      <c r="AN57" s="11">
        <f t="shared" si="10"/>
        <v>1329</v>
      </c>
      <c r="AO57" s="3">
        <f t="shared" si="9"/>
        <v>5448900000</v>
      </c>
      <c r="AP57" s="11"/>
    </row>
    <row r="58" spans="1:42">
      <c r="A58" s="507" t="s">
        <v>6920</v>
      </c>
      <c r="B58" s="359">
        <f t="shared" si="13"/>
        <v>231192000</v>
      </c>
      <c r="C58" s="378">
        <v>741000</v>
      </c>
      <c r="D58" s="363">
        <f>'خرید و فروش نسبتی'!O19</f>
        <v>312</v>
      </c>
      <c r="E58" s="364">
        <f>B58*100/$C$68</f>
        <v>0.85266384800150929</v>
      </c>
      <c r="F58" s="486"/>
      <c r="G58" s="189" t="s">
        <v>5160</v>
      </c>
      <c r="H58" s="132">
        <v>0</v>
      </c>
      <c r="I58" s="190">
        <f>H58*$I$63</f>
        <v>0</v>
      </c>
      <c r="J58" s="190">
        <f>B29+B20+B41</f>
        <v>290938577</v>
      </c>
      <c r="K58" s="157">
        <f>I58-J58</f>
        <v>-290938577</v>
      </c>
      <c r="L58" s="189" t="s">
        <v>4615</v>
      </c>
      <c r="M58" s="189" t="s">
        <v>5615</v>
      </c>
      <c r="N58" s="131">
        <v>-22520813.151772</v>
      </c>
      <c r="O58" s="357" t="s">
        <v>4545</v>
      </c>
      <c r="P58" s="357">
        <v>160187</v>
      </c>
      <c r="Q58" s="1">
        <v>257.49799999999999</v>
      </c>
      <c r="R58" s="1">
        <f t="shared" si="8"/>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507" t="s">
        <v>7053</v>
      </c>
      <c r="B59" s="359">
        <f t="shared" si="13"/>
        <v>259272000</v>
      </c>
      <c r="C59" s="378">
        <v>831000</v>
      </c>
      <c r="D59" s="363">
        <f>IF(D58&gt;450,450,D58)</f>
        <v>312</v>
      </c>
      <c r="E59" s="364">
        <f>B59*100/$C$68</f>
        <v>0.9562262586899517</v>
      </c>
      <c r="F59" s="486"/>
      <c r="G59" s="143"/>
      <c r="H59" s="137"/>
      <c r="I59" s="144"/>
      <c r="J59" s="144"/>
      <c r="K59" s="473"/>
      <c r="L59" s="370" t="s">
        <v>5996</v>
      </c>
      <c r="M59" s="370" t="s">
        <v>5994</v>
      </c>
      <c r="N59" s="37">
        <v>-6000000</v>
      </c>
      <c r="O59" s="357" t="s">
        <v>4552</v>
      </c>
      <c r="P59" s="357">
        <v>144401</v>
      </c>
      <c r="Q59" s="1">
        <v>258.5061</v>
      </c>
      <c r="R59" s="1">
        <f t="shared" si="8"/>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507" t="s">
        <v>7076</v>
      </c>
      <c r="B60" s="359">
        <f t="shared" si="13"/>
        <v>27768000</v>
      </c>
      <c r="C60" s="378">
        <v>89000</v>
      </c>
      <c r="D60" s="363">
        <f>IF(D58&gt;450,450,D58)</f>
        <v>312</v>
      </c>
      <c r="E60" s="364">
        <f>B60*100/$C$68</f>
        <v>0.10241171723634862</v>
      </c>
      <c r="F60" s="486" t="s">
        <v>25</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8"/>
        <v>37328539.346100003</v>
      </c>
      <c r="S60" s="357" t="s">
        <v>422</v>
      </c>
      <c r="AB60" s="356"/>
      <c r="AC60" s="356"/>
      <c r="AJ60" s="20">
        <v>41</v>
      </c>
      <c r="AK60" s="37" t="s">
        <v>3980</v>
      </c>
      <c r="AL60" s="37">
        <v>18800000</v>
      </c>
      <c r="AM60" s="20">
        <v>3</v>
      </c>
      <c r="AN60" s="11">
        <f t="shared" si="10"/>
        <v>1307</v>
      </c>
      <c r="AO60" s="3">
        <f t="shared" si="9"/>
        <v>24571600000</v>
      </c>
      <c r="AP60" s="20"/>
    </row>
    <row r="61" spans="1:42">
      <c r="A61" s="506" t="s">
        <v>6891</v>
      </c>
      <c r="B61" s="359">
        <f>C61*D61</f>
        <v>0</v>
      </c>
      <c r="C61" s="378">
        <v>0</v>
      </c>
      <c r="D61" s="363">
        <f>'خرید و فروش نسبتی'!O21</f>
        <v>1129</v>
      </c>
      <c r="E61" s="364">
        <f>B61*100/$C$68</f>
        <v>0</v>
      </c>
      <c r="F61" s="11"/>
      <c r="G61" s="28"/>
      <c r="H61" s="2"/>
      <c r="I61" s="1"/>
      <c r="J61" s="1"/>
      <c r="K61" s="59"/>
      <c r="L61" s="189" t="s">
        <v>6160</v>
      </c>
      <c r="M61" s="189" t="s">
        <v>6156</v>
      </c>
      <c r="N61" s="131">
        <v>50000000</v>
      </c>
      <c r="O61" s="357" t="s">
        <v>4558</v>
      </c>
      <c r="P61" s="357">
        <v>196500</v>
      </c>
      <c r="Q61" s="1">
        <v>254.452</v>
      </c>
      <c r="R61" s="1">
        <f t="shared" si="8"/>
        <v>49999818</v>
      </c>
      <c r="S61" s="357" t="s">
        <v>4560</v>
      </c>
      <c r="AB61" s="356"/>
      <c r="AC61" s="356"/>
      <c r="AJ61" s="20">
        <v>42</v>
      </c>
      <c r="AK61" s="37" t="s">
        <v>3995</v>
      </c>
      <c r="AL61" s="37">
        <v>500000</v>
      </c>
      <c r="AM61" s="20">
        <v>1</v>
      </c>
      <c r="AN61" s="11">
        <f>AM62+AM61</f>
        <v>1304</v>
      </c>
      <c r="AO61" s="3">
        <f t="shared" si="9"/>
        <v>652000000</v>
      </c>
      <c r="AP61" s="20"/>
    </row>
    <row r="62" spans="1:42">
      <c r="A62" s="502" t="s">
        <v>6930</v>
      </c>
      <c r="B62" s="359">
        <f>C62*D62</f>
        <v>237090000</v>
      </c>
      <c r="C62" s="378">
        <v>210000</v>
      </c>
      <c r="D62" s="363">
        <f>IF($D$61&gt;1200,1200,$D$61)</f>
        <v>1129</v>
      </c>
      <c r="E62" s="364">
        <f>B62*100/$C$68</f>
        <v>0.87441637999012867</v>
      </c>
      <c r="F62" s="367">
        <f>C62*'خرید و فروش نسبتی'!O16</f>
        <v>2100000</v>
      </c>
      <c r="G62" s="143" t="s">
        <v>4859</v>
      </c>
      <c r="H62" s="137">
        <f>SUM(H55:H60)</f>
        <v>754</v>
      </c>
      <c r="I62" s="144"/>
      <c r="J62" s="144"/>
      <c r="K62" s="473"/>
      <c r="L62" s="370" t="s">
        <v>6177</v>
      </c>
      <c r="M62" s="370" t="s">
        <v>6176</v>
      </c>
      <c r="N62" s="37">
        <v>96000</v>
      </c>
      <c r="O62" s="357" t="s">
        <v>4558</v>
      </c>
      <c r="P62" s="357">
        <v>2561</v>
      </c>
      <c r="Q62" s="1">
        <v>254.536</v>
      </c>
      <c r="R62" s="1">
        <f t="shared" si="8"/>
        <v>651866.696</v>
      </c>
      <c r="S62" s="357" t="s">
        <v>4561</v>
      </c>
      <c r="AA62" t="s">
        <v>25</v>
      </c>
      <c r="AB62" s="356"/>
      <c r="AC62" s="356"/>
      <c r="AI62" s="20">
        <v>43</v>
      </c>
      <c r="AJ62" s="37" t="s">
        <v>3999</v>
      </c>
      <c r="AK62" s="37">
        <v>200000</v>
      </c>
      <c r="AL62" s="20">
        <v>3</v>
      </c>
      <c r="AM62" s="11">
        <f>AM63+AL62</f>
        <v>1303</v>
      </c>
      <c r="AN62" s="3">
        <f>AK62*AM62</f>
        <v>260600000</v>
      </c>
      <c r="AO62" s="20"/>
    </row>
    <row r="63" spans="1:42">
      <c r="A63" s="318" t="s">
        <v>1004</v>
      </c>
      <c r="B63" s="359">
        <f t="shared" si="13"/>
        <v>0</v>
      </c>
      <c r="C63" s="378">
        <v>0</v>
      </c>
      <c r="D63" s="359">
        <v>2860000</v>
      </c>
      <c r="E63" s="364">
        <f>B63*100/$C$68</f>
        <v>0</v>
      </c>
      <c r="F63" s="367"/>
      <c r="G63" s="28"/>
      <c r="H63" s="2">
        <v>0</v>
      </c>
      <c r="I63" s="34">
        <f>10*D63</f>
        <v>28600000</v>
      </c>
      <c r="J63" s="1">
        <f>H63*I63</f>
        <v>0</v>
      </c>
      <c r="K63" s="59" t="e">
        <f>SUM(K55:K61)-J63</f>
        <v>#REF!</v>
      </c>
      <c r="L63" s="189" t="s">
        <v>6568</v>
      </c>
      <c r="M63" s="189" t="s">
        <v>6566</v>
      </c>
      <c r="N63" s="131">
        <v>-40615000</v>
      </c>
      <c r="O63" s="357" t="s">
        <v>4599</v>
      </c>
      <c r="P63" s="357">
        <v>-11795</v>
      </c>
      <c r="Q63" s="1">
        <v>254.334</v>
      </c>
      <c r="R63" s="1">
        <f t="shared" si="8"/>
        <v>-2999869.5300000003</v>
      </c>
      <c r="S63" s="357" t="s">
        <v>4600</v>
      </c>
      <c r="AB63" s="356"/>
      <c r="AC63" s="356"/>
      <c r="AI63" s="20">
        <v>44</v>
      </c>
      <c r="AJ63" s="37" t="s">
        <v>4006</v>
      </c>
      <c r="AK63" s="37">
        <v>1000000</v>
      </c>
      <c r="AL63" s="20">
        <v>3</v>
      </c>
      <c r="AM63" s="11">
        <f>AN64+AL63</f>
        <v>1300</v>
      </c>
      <c r="AN63" s="3">
        <f>AK63*AM63</f>
        <v>1300000000</v>
      </c>
      <c r="AO63" s="20"/>
    </row>
    <row r="64" spans="1:42">
      <c r="A64" s="318" t="s">
        <v>4927</v>
      </c>
      <c r="B64" s="359">
        <f t="shared" si="13"/>
        <v>0</v>
      </c>
      <c r="C64" s="378">
        <v>0</v>
      </c>
      <c r="D64" s="363">
        <v>50000</v>
      </c>
      <c r="E64" s="364">
        <f>B64*100/$C$68</f>
        <v>0</v>
      </c>
      <c r="F64" s="486" t="s">
        <v>25</v>
      </c>
      <c r="G64" s="143"/>
      <c r="H64" s="160"/>
      <c r="I64" s="144" t="s">
        <v>4144</v>
      </c>
      <c r="J64" s="144" t="s">
        <v>4482</v>
      </c>
      <c r="K64" s="473" t="s">
        <v>4483</v>
      </c>
      <c r="L64" s="189" t="s">
        <v>6589</v>
      </c>
      <c r="M64" s="189" t="s">
        <v>6588</v>
      </c>
      <c r="N64" s="131">
        <v>7300000</v>
      </c>
      <c r="O64" s="357" t="s">
        <v>4599</v>
      </c>
      <c r="P64" s="357">
        <v>11795</v>
      </c>
      <c r="Q64" s="1">
        <v>254.334</v>
      </c>
      <c r="R64" s="1">
        <f t="shared" si="8"/>
        <v>2999869.5300000003</v>
      </c>
      <c r="S64" s="357" t="s">
        <v>4601</v>
      </c>
      <c r="AB64" s="356"/>
      <c r="AC64" s="356"/>
      <c r="AD64" t="s">
        <v>25</v>
      </c>
      <c r="AJ64" s="20">
        <v>45</v>
      </c>
      <c r="AK64" s="37" t="s">
        <v>4009</v>
      </c>
      <c r="AL64" s="37">
        <v>1300000</v>
      </c>
      <c r="AM64" s="20">
        <v>0</v>
      </c>
      <c r="AN64" s="11">
        <f>AN65+AM64</f>
        <v>1297</v>
      </c>
      <c r="AO64" s="3">
        <f t="shared" ref="AO64:AO95" si="14">AL64*AN64</f>
        <v>1686100000</v>
      </c>
      <c r="AP64" s="20"/>
    </row>
    <row r="65" spans="1:42" ht="30">
      <c r="A65" s="318"/>
      <c r="B65" s="359"/>
      <c r="C65" s="378"/>
      <c r="D65" s="363"/>
      <c r="E65" s="364"/>
      <c r="F65" s="486" t="s">
        <v>25</v>
      </c>
      <c r="G65" s="279" t="s">
        <v>4489</v>
      </c>
      <c r="H65" s="28"/>
      <c r="I65" s="1"/>
      <c r="J65" s="1"/>
      <c r="K65" s="59"/>
      <c r="L65" s="370" t="s">
        <v>6623</v>
      </c>
      <c r="M65" s="370" t="s">
        <v>6620</v>
      </c>
      <c r="N65" s="37">
        <v>-6128000</v>
      </c>
      <c r="O65" s="357" t="s">
        <v>4613</v>
      </c>
      <c r="P65" s="357">
        <v>260</v>
      </c>
      <c r="Q65" s="1">
        <v>263.19</v>
      </c>
      <c r="R65" s="1">
        <f t="shared" si="8"/>
        <v>68429.399999999994</v>
      </c>
      <c r="S65" s="357" t="s">
        <v>422</v>
      </c>
      <c r="AB65" s="356"/>
      <c r="AC65" s="356"/>
      <c r="AJ65" s="20">
        <v>45</v>
      </c>
      <c r="AK65" s="37" t="s">
        <v>4009</v>
      </c>
      <c r="AL65" s="37">
        <v>995000</v>
      </c>
      <c r="AM65" s="20">
        <v>2</v>
      </c>
      <c r="AN65" s="11">
        <f t="shared" ref="AN65:AN92" si="15">AN66+AM65</f>
        <v>1297</v>
      </c>
      <c r="AO65" s="3">
        <f t="shared" si="14"/>
        <v>1290515000</v>
      </c>
      <c r="AP65" s="20"/>
    </row>
    <row r="66" spans="1:42">
      <c r="A66" s="363" t="s">
        <v>1069</v>
      </c>
      <c r="B66" s="359">
        <v>14908</v>
      </c>
      <c r="C66" s="363">
        <v>1</v>
      </c>
      <c r="D66" s="363" t="s">
        <v>25</v>
      </c>
      <c r="E66" s="364"/>
      <c r="F66" s="486"/>
      <c r="J66" s="469" t="s">
        <v>25</v>
      </c>
      <c r="K66" s="35"/>
      <c r="L66" s="189" t="s">
        <v>6655</v>
      </c>
      <c r="M66" s="189" t="s">
        <v>6653</v>
      </c>
      <c r="N66" s="131">
        <v>-79825035</v>
      </c>
      <c r="O66" s="357" t="s">
        <v>4622</v>
      </c>
      <c r="P66" s="357">
        <v>15257</v>
      </c>
      <c r="Q66" s="1">
        <v>262.19018</v>
      </c>
      <c r="R66" s="1">
        <f t="shared" si="8"/>
        <v>4000235.57626</v>
      </c>
      <c r="S66" s="357" t="s">
        <v>422</v>
      </c>
      <c r="AB66" s="356"/>
      <c r="AC66" s="356"/>
      <c r="AJ66" s="20">
        <v>46</v>
      </c>
      <c r="AK66" s="37" t="s">
        <v>4018</v>
      </c>
      <c r="AL66" s="37">
        <v>13000000</v>
      </c>
      <c r="AM66" s="20">
        <v>2</v>
      </c>
      <c r="AN66" s="11">
        <f t="shared" si="15"/>
        <v>1295</v>
      </c>
      <c r="AO66" s="3">
        <f t="shared" si="14"/>
        <v>16835000000</v>
      </c>
      <c r="AP66" s="20"/>
    </row>
    <row r="67" spans="1:42">
      <c r="A67" s="363" t="s">
        <v>1070</v>
      </c>
      <c r="B67" s="359">
        <v>5282</v>
      </c>
      <c r="C67" s="363"/>
      <c r="D67" s="363" t="s">
        <v>25</v>
      </c>
      <c r="E67" s="364"/>
      <c r="F67" s="439">
        <f>SUM(F1:F63)</f>
        <v>105252100</v>
      </c>
      <c r="J67" s="353"/>
      <c r="K67" s="35"/>
      <c r="L67" s="370" t="s">
        <v>6679</v>
      </c>
      <c r="M67" s="370" t="s">
        <v>6674</v>
      </c>
      <c r="N67" s="37">
        <v>-11300000</v>
      </c>
      <c r="O67" s="357" t="s">
        <v>4622</v>
      </c>
      <c r="P67" s="357">
        <v>8444</v>
      </c>
      <c r="Q67" s="1">
        <v>266.43029999999999</v>
      </c>
      <c r="R67" s="1">
        <f t="shared" si="8"/>
        <v>2249737.4531999999</v>
      </c>
      <c r="S67" s="357" t="s">
        <v>422</v>
      </c>
      <c r="AB67" s="356"/>
      <c r="AC67" s="356"/>
      <c r="AJ67" s="20">
        <v>47</v>
      </c>
      <c r="AK67" s="37" t="s">
        <v>4031</v>
      </c>
      <c r="AL67" s="37">
        <v>-3100000</v>
      </c>
      <c r="AM67" s="20">
        <v>3</v>
      </c>
      <c r="AN67" s="11">
        <f t="shared" si="15"/>
        <v>1293</v>
      </c>
      <c r="AO67" s="3">
        <f t="shared" si="14"/>
        <v>-4008300000</v>
      </c>
      <c r="AP67" s="20"/>
    </row>
    <row r="68" spans="1:42">
      <c r="A68" s="354"/>
      <c r="B68" s="355"/>
      <c r="C68" s="373">
        <f>SUM(B1:B65)-F67</f>
        <v>27114084940.023254</v>
      </c>
      <c r="D68" s="354">
        <v>90</v>
      </c>
      <c r="E68" s="357">
        <v>335</v>
      </c>
      <c r="F68" s="373" t="s">
        <v>7070</v>
      </c>
      <c r="G68" s="2" t="s">
        <v>180</v>
      </c>
      <c r="H68" s="354" t="s">
        <v>5310</v>
      </c>
      <c r="J68" s="387"/>
      <c r="K68" s="338"/>
      <c r="L68" s="189"/>
      <c r="M68" s="189" t="s">
        <v>6686</v>
      </c>
      <c r="N68" s="131">
        <v>-15162600</v>
      </c>
      <c r="O68" s="208" t="s">
        <v>4627</v>
      </c>
      <c r="P68" s="208">
        <v>-6209</v>
      </c>
      <c r="Q68" s="390">
        <v>273.79649999999998</v>
      </c>
      <c r="R68" s="390">
        <f t="shared" si="8"/>
        <v>-1700002.4685</v>
      </c>
      <c r="S68" s="208" t="s">
        <v>6180</v>
      </c>
      <c r="AB68" s="356"/>
      <c r="AC68" s="356"/>
      <c r="AJ68" s="20">
        <v>48</v>
      </c>
      <c r="AK68" s="37" t="s">
        <v>4044</v>
      </c>
      <c r="AL68" s="37">
        <v>45640000</v>
      </c>
      <c r="AM68" s="20">
        <v>1</v>
      </c>
      <c r="AN68" s="11">
        <f t="shared" si="15"/>
        <v>1290</v>
      </c>
      <c r="AO68" s="3">
        <f t="shared" si="14"/>
        <v>58875600000</v>
      </c>
      <c r="AP68" s="20"/>
    </row>
    <row r="69" spans="1:42">
      <c r="A69" s="354"/>
      <c r="B69" s="355"/>
      <c r="C69" s="355" t="s">
        <v>4927</v>
      </c>
      <c r="D69" s="357" t="s">
        <v>4542</v>
      </c>
      <c r="E69" s="279" t="s">
        <v>4134</v>
      </c>
      <c r="F69" s="354">
        <v>80</v>
      </c>
      <c r="G69" s="2" t="s">
        <v>5291</v>
      </c>
      <c r="H69" s="1">
        <v>30000000</v>
      </c>
      <c r="L69" s="189"/>
      <c r="M69" s="189" t="s">
        <v>6690</v>
      </c>
      <c r="N69" s="131">
        <v>-10216551.764954999</v>
      </c>
      <c r="O69" s="357" t="s">
        <v>4627</v>
      </c>
      <c r="P69" s="357">
        <v>-8014</v>
      </c>
      <c r="Q69" s="1">
        <v>273.79649999999998</v>
      </c>
      <c r="R69" s="1">
        <f t="shared" si="8"/>
        <v>-2194205.1510000001</v>
      </c>
      <c r="S69" s="357" t="s">
        <v>690</v>
      </c>
      <c r="AB69" s="356"/>
      <c r="AC69" s="356"/>
      <c r="AJ69" s="20">
        <v>49</v>
      </c>
      <c r="AK69" s="37" t="s">
        <v>4048</v>
      </c>
      <c r="AL69" s="37">
        <v>33500000</v>
      </c>
      <c r="AM69" s="20">
        <v>1</v>
      </c>
      <c r="AN69" s="11">
        <f t="shared" si="15"/>
        <v>1289</v>
      </c>
      <c r="AO69" s="3">
        <f t="shared" si="14"/>
        <v>43181500000</v>
      </c>
      <c r="AP69" s="20"/>
    </row>
    <row r="70" spans="1:42">
      <c r="A70" s="354"/>
      <c r="B70" s="355" t="s">
        <v>6868</v>
      </c>
      <c r="C70" s="373">
        <f>C68/D64</f>
        <v>542281.69880046509</v>
      </c>
      <c r="D70" s="373">
        <f>C68/D44</f>
        <v>51255359.054864377</v>
      </c>
      <c r="E70" s="373">
        <f>C68/D42</f>
        <v>12880800.446566867</v>
      </c>
      <c r="F70" s="279" t="s">
        <v>5139</v>
      </c>
      <c r="G70" s="2" t="s">
        <v>5292</v>
      </c>
      <c r="H70" s="1">
        <v>550000</v>
      </c>
      <c r="L70" s="189"/>
      <c r="M70" s="189" t="s">
        <v>6694</v>
      </c>
      <c r="N70" s="131">
        <v>-5095614.0723999999</v>
      </c>
      <c r="O70" s="357" t="s">
        <v>4636</v>
      </c>
      <c r="P70" s="357">
        <v>-9176</v>
      </c>
      <c r="Q70" s="1">
        <v>273.79649999999998</v>
      </c>
      <c r="R70" s="1">
        <f t="shared" si="8"/>
        <v>-2512356.6839999999</v>
      </c>
      <c r="S70" s="357" t="s">
        <v>422</v>
      </c>
      <c r="AB70" s="356"/>
      <c r="AC70" s="356"/>
      <c r="AJ70" s="20">
        <v>50</v>
      </c>
      <c r="AK70" s="37" t="s">
        <v>4053</v>
      </c>
      <c r="AL70" s="37">
        <v>12000000</v>
      </c>
      <c r="AM70" s="20">
        <v>1</v>
      </c>
      <c r="AN70" s="11">
        <f t="shared" si="15"/>
        <v>1288</v>
      </c>
      <c r="AO70" s="37">
        <f t="shared" si="14"/>
        <v>15456000000</v>
      </c>
      <c r="AP70" s="20"/>
    </row>
    <row r="71" spans="1:42">
      <c r="A71" s="354"/>
      <c r="B71" s="355" t="s">
        <v>6869</v>
      </c>
      <c r="C71" s="373">
        <v>0</v>
      </c>
      <c r="D71" s="373">
        <f>C44+C38+C26</f>
        <v>1050000</v>
      </c>
      <c r="E71" s="373">
        <f>C2+C10+C30+C42+C21</f>
        <v>9233194</v>
      </c>
      <c r="F71" s="373">
        <f>C68/D43</f>
        <v>31738278.274697155</v>
      </c>
      <c r="G71" s="2" t="s">
        <v>5293</v>
      </c>
      <c r="H71" s="1">
        <v>70370000</v>
      </c>
      <c r="L71" s="189" t="s">
        <v>6704</v>
      </c>
      <c r="M71" s="189" t="s">
        <v>6702</v>
      </c>
      <c r="N71" s="131">
        <v>-5464072.8466919996</v>
      </c>
      <c r="O71" s="357" t="s">
        <v>4636</v>
      </c>
      <c r="P71" s="357">
        <v>1087</v>
      </c>
      <c r="Q71" s="1">
        <v>273.79649999999998</v>
      </c>
      <c r="R71" s="1">
        <f t="shared" si="8"/>
        <v>297616.79550000001</v>
      </c>
      <c r="S71" s="357" t="s">
        <v>422</v>
      </c>
      <c r="AB71" s="356"/>
      <c r="AC71" s="356"/>
      <c r="AJ71" s="20">
        <v>51</v>
      </c>
      <c r="AK71" s="37" t="s">
        <v>4058</v>
      </c>
      <c r="AL71" s="37">
        <v>15500000</v>
      </c>
      <c r="AM71" s="20">
        <v>4</v>
      </c>
      <c r="AN71" s="11">
        <f t="shared" si="15"/>
        <v>1287</v>
      </c>
      <c r="AO71" s="37">
        <f t="shared" si="14"/>
        <v>19948500000</v>
      </c>
      <c r="AP71" s="20"/>
    </row>
    <row r="72" spans="1:42">
      <c r="A72" s="354"/>
      <c r="B72" s="355" t="s">
        <v>6870</v>
      </c>
      <c r="C72" s="474"/>
      <c r="D72" s="474">
        <f>D71/D70</f>
        <v>2.0485662755304609E-2</v>
      </c>
      <c r="E72" s="474">
        <f>E71/E70</f>
        <v>0.71681834046741499</v>
      </c>
      <c r="F72" s="373">
        <f>C3+C11+C31+C43+C22</f>
        <v>10</v>
      </c>
      <c r="G72" s="2" t="s">
        <v>5294</v>
      </c>
      <c r="H72" s="1">
        <v>1215000</v>
      </c>
      <c r="L72" s="189" t="s">
        <v>6880</v>
      </c>
      <c r="M72" s="189" t="s">
        <v>6881</v>
      </c>
      <c r="N72" s="360">
        <v>1461000</v>
      </c>
      <c r="O72" s="208" t="s">
        <v>901</v>
      </c>
      <c r="P72" s="208">
        <v>-4017</v>
      </c>
      <c r="Q72" s="390">
        <v>273.79649999999998</v>
      </c>
      <c r="R72" s="390">
        <f t="shared" si="8"/>
        <v>-1099840.5404999999</v>
      </c>
      <c r="S72" s="208" t="s">
        <v>4316</v>
      </c>
      <c r="AB72" s="356"/>
      <c r="AC72" s="356"/>
      <c r="AD72" t="s">
        <v>25</v>
      </c>
      <c r="AJ72" s="20">
        <v>52</v>
      </c>
      <c r="AK72" s="37" t="s">
        <v>4062</v>
      </c>
      <c r="AL72" s="37">
        <v>150000</v>
      </c>
      <c r="AM72" s="20">
        <v>1</v>
      </c>
      <c r="AN72" s="11">
        <f t="shared" si="15"/>
        <v>1283</v>
      </c>
      <c r="AO72" s="37">
        <f t="shared" si="14"/>
        <v>192450000</v>
      </c>
      <c r="AP72" s="20"/>
    </row>
    <row r="73" spans="1:42">
      <c r="A73" s="354"/>
      <c r="B73" s="355" t="s">
        <v>4037</v>
      </c>
      <c r="C73" s="355"/>
      <c r="D73" s="373">
        <f>D70*D68</f>
        <v>4612982314.9377937</v>
      </c>
      <c r="E73" s="373">
        <f>E70*E68</f>
        <v>4315068149.5999002</v>
      </c>
      <c r="F73" s="474">
        <f>F72/F71</f>
        <v>3.1507695261378887E-7</v>
      </c>
      <c r="G73" s="2" t="s">
        <v>5295</v>
      </c>
      <c r="H73" s="1">
        <v>15350000</v>
      </c>
      <c r="L73" s="189" t="s">
        <v>6935</v>
      </c>
      <c r="M73" s="189" t="s">
        <v>6933</v>
      </c>
      <c r="N73" s="360">
        <v>729120</v>
      </c>
      <c r="O73" s="357" t="s">
        <v>901</v>
      </c>
      <c r="P73" s="357">
        <v>4017</v>
      </c>
      <c r="Q73" s="1">
        <v>273.79649999999998</v>
      </c>
      <c r="R73" s="1">
        <f t="shared" si="8"/>
        <v>1099840.5404999999</v>
      </c>
      <c r="S73" s="357" t="s">
        <v>422</v>
      </c>
      <c r="AB73" s="356"/>
      <c r="AC73" s="356"/>
      <c r="AJ73" s="124">
        <v>53</v>
      </c>
      <c r="AK73" s="125" t="s">
        <v>4068</v>
      </c>
      <c r="AL73" s="125">
        <v>29000000</v>
      </c>
      <c r="AM73" s="124">
        <v>15</v>
      </c>
      <c r="AN73" s="124">
        <f t="shared" si="15"/>
        <v>1282</v>
      </c>
      <c r="AO73" s="125">
        <f t="shared" si="14"/>
        <v>37178000000</v>
      </c>
      <c r="AP73" s="124" t="s">
        <v>4078</v>
      </c>
    </row>
    <row r="74" spans="1:42">
      <c r="A74" s="355"/>
      <c r="B74" s="354" t="s">
        <v>6871</v>
      </c>
      <c r="C74" s="354"/>
      <c r="D74" s="373">
        <f>D71*80</f>
        <v>84000000</v>
      </c>
      <c r="E74" s="373">
        <f>E71*E68</f>
        <v>3093119990</v>
      </c>
      <c r="F74" s="373">
        <f>F71*F69</f>
        <v>2539062261.9757724</v>
      </c>
      <c r="G74" s="2" t="s">
        <v>5296</v>
      </c>
      <c r="H74" s="1">
        <v>70000</v>
      </c>
      <c r="L74" s="370" t="s">
        <v>6941</v>
      </c>
      <c r="M74" s="370" t="s">
        <v>6939</v>
      </c>
      <c r="N74" s="37">
        <v>-4995252</v>
      </c>
      <c r="O74" s="357" t="s">
        <v>4642</v>
      </c>
      <c r="P74" s="357">
        <v>3137</v>
      </c>
      <c r="Q74" s="1">
        <v>283.69110000000001</v>
      </c>
      <c r="R74" s="1">
        <f t="shared" si="8"/>
        <v>889938.98070000007</v>
      </c>
      <c r="S74" s="357" t="s">
        <v>422</v>
      </c>
      <c r="AB74" s="356"/>
      <c r="AC74" s="356"/>
      <c r="AE74" t="s">
        <v>25</v>
      </c>
      <c r="AJ74" s="20">
        <v>54</v>
      </c>
      <c r="AK74" s="37" t="s">
        <v>4101</v>
      </c>
      <c r="AL74" s="37">
        <v>-130000</v>
      </c>
      <c r="AM74" s="20">
        <v>7</v>
      </c>
      <c r="AN74" s="11">
        <f t="shared" si="15"/>
        <v>1267</v>
      </c>
      <c r="AO74" s="37">
        <f t="shared" si="14"/>
        <v>-164710000</v>
      </c>
      <c r="AP74" s="20" t="s">
        <v>4103</v>
      </c>
    </row>
    <row r="75" spans="1:42">
      <c r="A75" s="11"/>
      <c r="B75" s="373"/>
      <c r="C75" s="373" t="s">
        <v>25</v>
      </c>
      <c r="D75" s="373">
        <f>D71*D44</f>
        <v>555450000</v>
      </c>
      <c r="E75" s="373">
        <f>E71*D42</f>
        <v>19435873370</v>
      </c>
      <c r="F75" s="373">
        <f>F72*F69</f>
        <v>800</v>
      </c>
      <c r="G75" s="2" t="s">
        <v>5300</v>
      </c>
      <c r="H75" s="1">
        <v>800000</v>
      </c>
      <c r="L75" s="189" t="s">
        <v>4615</v>
      </c>
      <c r="M75" s="189" t="s">
        <v>7038</v>
      </c>
      <c r="N75" s="360">
        <v>-232619</v>
      </c>
      <c r="O75" s="357" t="s">
        <v>4655</v>
      </c>
      <c r="P75" s="357">
        <v>101933</v>
      </c>
      <c r="Q75" s="1">
        <v>294.30973999999998</v>
      </c>
      <c r="R75" s="1">
        <f t="shared" si="8"/>
        <v>29999874.727419998</v>
      </c>
      <c r="S75" s="357" t="s">
        <v>1005</v>
      </c>
      <c r="AA75" t="s">
        <v>25</v>
      </c>
      <c r="AB75" s="356"/>
      <c r="AC75" s="356"/>
      <c r="AJ75" s="20">
        <v>55</v>
      </c>
      <c r="AK75" s="37" t="s">
        <v>4149</v>
      </c>
      <c r="AL75" s="37">
        <v>232000</v>
      </c>
      <c r="AM75" s="20">
        <v>2</v>
      </c>
      <c r="AN75" s="11">
        <f t="shared" si="15"/>
        <v>1260</v>
      </c>
      <c r="AO75" s="37">
        <f t="shared" si="14"/>
        <v>292320000</v>
      </c>
      <c r="AP75" s="20" t="s">
        <v>4151</v>
      </c>
    </row>
    <row r="76" spans="1:42">
      <c r="A76" s="354" t="s">
        <v>8</v>
      </c>
      <c r="B76" s="2" t="s">
        <v>180</v>
      </c>
      <c r="C76" s="2" t="s">
        <v>4927</v>
      </c>
      <c r="D76" s="28" t="s">
        <v>4542</v>
      </c>
      <c r="E76" s="317" t="s">
        <v>4134</v>
      </c>
      <c r="F76" s="373">
        <f>F72*D43</f>
        <v>8543.0232558139523</v>
      </c>
      <c r="G76" s="2" t="s">
        <v>5305</v>
      </c>
      <c r="H76" s="1">
        <v>1948000</v>
      </c>
      <c r="K76" t="s">
        <v>25</v>
      </c>
      <c r="L76" s="370"/>
      <c r="M76" s="370"/>
      <c r="N76" s="37"/>
      <c r="O76" s="357" t="s">
        <v>4661</v>
      </c>
      <c r="P76" s="357">
        <v>3407</v>
      </c>
      <c r="Q76" s="1">
        <v>293.43799999999999</v>
      </c>
      <c r="R76" s="1">
        <f t="shared" si="8"/>
        <v>999743.26599999995</v>
      </c>
      <c r="S76" s="357" t="s">
        <v>422</v>
      </c>
      <c r="AA76" t="s">
        <v>25</v>
      </c>
      <c r="AB76" s="356"/>
      <c r="AC76" s="356"/>
      <c r="AD76" t="s">
        <v>25</v>
      </c>
      <c r="AJ76" s="20">
        <v>56</v>
      </c>
      <c r="AK76" s="37" t="s">
        <v>4159</v>
      </c>
      <c r="AL76" s="37">
        <v>-170000</v>
      </c>
      <c r="AM76" s="20">
        <v>3</v>
      </c>
      <c r="AN76" s="11">
        <f t="shared" si="15"/>
        <v>1258</v>
      </c>
      <c r="AO76" s="37">
        <f t="shared" si="14"/>
        <v>-213860000</v>
      </c>
      <c r="AP76" s="20"/>
    </row>
    <row r="77" spans="1:42">
      <c r="A77" s="354"/>
      <c r="B77" s="354"/>
      <c r="C77" s="373"/>
      <c r="D77" s="373"/>
      <c r="E77" s="373"/>
      <c r="F77" s="317" t="s">
        <v>5139</v>
      </c>
      <c r="G77" s="2" t="s">
        <v>5321</v>
      </c>
      <c r="H77" s="1">
        <v>5745697.3157000002</v>
      </c>
      <c r="L77" s="357" t="s">
        <v>25</v>
      </c>
      <c r="M77" s="357"/>
      <c r="N77" s="3"/>
      <c r="O77" s="357" t="s">
        <v>4662</v>
      </c>
      <c r="P77" s="357">
        <v>68796</v>
      </c>
      <c r="Q77" s="1">
        <v>293.53250000000003</v>
      </c>
      <c r="R77" s="1">
        <f t="shared" si="8"/>
        <v>20193861.870000001</v>
      </c>
      <c r="S77" s="357" t="s">
        <v>690</v>
      </c>
      <c r="AB77" s="356"/>
      <c r="AC77" s="356"/>
      <c r="AJ77" s="20">
        <v>57</v>
      </c>
      <c r="AK77" s="37" t="s">
        <v>4173</v>
      </c>
      <c r="AL77" s="37">
        <v>-300000</v>
      </c>
      <c r="AM77" s="20">
        <v>3</v>
      </c>
      <c r="AN77" s="11">
        <f t="shared" si="15"/>
        <v>1255</v>
      </c>
      <c r="AO77" s="37">
        <f t="shared" si="14"/>
        <v>-376500000</v>
      </c>
      <c r="AP77" s="20"/>
    </row>
    <row r="78" spans="1:42">
      <c r="A78" s="354"/>
      <c r="B78" s="354" t="s">
        <v>6918</v>
      </c>
      <c r="C78" s="373">
        <v>487778</v>
      </c>
      <c r="D78" s="373">
        <v>37410736</v>
      </c>
      <c r="E78" s="373">
        <v>9793235</v>
      </c>
      <c r="F78" s="373"/>
      <c r="G78" s="2" t="s">
        <v>5322</v>
      </c>
      <c r="H78" s="1">
        <v>908158.17935999995</v>
      </c>
      <c r="L78" s="357"/>
      <c r="M78" s="357"/>
      <c r="N78" s="3">
        <f>SUM(N20:N77)</f>
        <v>-8591667.551955983</v>
      </c>
      <c r="O78" s="357" t="s">
        <v>4662</v>
      </c>
      <c r="P78" s="357">
        <v>154791</v>
      </c>
      <c r="Q78" s="1">
        <v>293.53250000000003</v>
      </c>
      <c r="R78" s="1">
        <f t="shared" si="8"/>
        <v>45436189.207500003</v>
      </c>
      <c r="S78" s="357" t="s">
        <v>422</v>
      </c>
      <c r="AB78" s="356"/>
      <c r="AC78" s="356"/>
      <c r="AD78" t="s">
        <v>25</v>
      </c>
      <c r="AE78" t="s">
        <v>25</v>
      </c>
      <c r="AJ78" s="20">
        <v>58</v>
      </c>
      <c r="AK78" s="37" t="s">
        <v>4182</v>
      </c>
      <c r="AL78" s="37">
        <v>-11400000</v>
      </c>
      <c r="AM78" s="20">
        <v>13</v>
      </c>
      <c r="AN78" s="11">
        <f t="shared" ref="AN78:AN83" si="16">AN79+AM78</f>
        <v>1252</v>
      </c>
      <c r="AO78" s="37">
        <f t="shared" si="14"/>
        <v>-14272800000</v>
      </c>
      <c r="AP78" s="20"/>
    </row>
    <row r="79" spans="1:42">
      <c r="A79" s="354"/>
      <c r="B79" s="354" t="s">
        <v>6909</v>
      </c>
      <c r="C79" s="373">
        <v>480767</v>
      </c>
      <c r="D79" s="373">
        <v>37036830</v>
      </c>
      <c r="E79" s="373">
        <v>9912712</v>
      </c>
      <c r="F79" s="373">
        <v>34092042</v>
      </c>
      <c r="G79" s="2" t="s">
        <v>5323</v>
      </c>
      <c r="H79" s="1">
        <v>12642697.648548001</v>
      </c>
      <c r="L79" s="357"/>
      <c r="M79" s="357"/>
      <c r="N79" s="2" t="s">
        <v>6</v>
      </c>
      <c r="O79" s="357" t="s">
        <v>4662</v>
      </c>
      <c r="P79" s="357">
        <v>-11923</v>
      </c>
      <c r="Q79" s="1">
        <v>293.53250000000003</v>
      </c>
      <c r="R79" s="1">
        <f t="shared" si="8"/>
        <v>-3499787.9975000005</v>
      </c>
      <c r="S79" s="357" t="s">
        <v>422</v>
      </c>
      <c r="AB79" s="356"/>
      <c r="AC79" s="356"/>
      <c r="AE79" t="s">
        <v>25</v>
      </c>
      <c r="AJ79" s="20">
        <v>59</v>
      </c>
      <c r="AK79" s="37" t="s">
        <v>4228</v>
      </c>
      <c r="AL79" s="37">
        <v>-10000000</v>
      </c>
      <c r="AM79" s="20">
        <v>1</v>
      </c>
      <c r="AN79" s="11">
        <f t="shared" si="16"/>
        <v>1239</v>
      </c>
      <c r="AO79" s="37">
        <f t="shared" si="14"/>
        <v>-12390000000</v>
      </c>
      <c r="AP79" s="20"/>
    </row>
    <row r="80" spans="1:42">
      <c r="A80" s="354" t="s">
        <v>25</v>
      </c>
      <c r="B80" s="354" t="s">
        <v>6908</v>
      </c>
      <c r="C80" s="373">
        <v>480041</v>
      </c>
      <c r="D80" s="373">
        <v>37625305</v>
      </c>
      <c r="E80" s="373">
        <v>9990984</v>
      </c>
      <c r="F80" s="373">
        <v>33829310</v>
      </c>
      <c r="G80" s="2" t="s">
        <v>5324</v>
      </c>
      <c r="H80" s="1">
        <v>12297318</v>
      </c>
      <c r="L80" s="35"/>
      <c r="M80" s="35"/>
      <c r="O80" s="357" t="s">
        <v>4674</v>
      </c>
      <c r="P80" s="357">
        <v>8424</v>
      </c>
      <c r="Q80" s="1">
        <v>299.15170000000001</v>
      </c>
      <c r="R80" s="1">
        <f t="shared" si="8"/>
        <v>2520053.9208</v>
      </c>
      <c r="S80" s="357" t="s">
        <v>422</v>
      </c>
      <c r="AB80" s="356"/>
      <c r="AC80" s="356"/>
      <c r="AJ80" s="20">
        <v>60</v>
      </c>
      <c r="AK80" s="37" t="s">
        <v>4229</v>
      </c>
      <c r="AL80" s="37">
        <v>-2450000</v>
      </c>
      <c r="AM80" s="20">
        <v>5</v>
      </c>
      <c r="AN80" s="11">
        <f t="shared" si="16"/>
        <v>1238</v>
      </c>
      <c r="AO80" s="37">
        <f t="shared" si="14"/>
        <v>-3033100000</v>
      </c>
      <c r="AP80" s="20"/>
    </row>
    <row r="81" spans="1:54">
      <c r="A81" s="354" t="s">
        <v>6902</v>
      </c>
      <c r="B81" s="354" t="s">
        <v>6900</v>
      </c>
      <c r="C81" s="373">
        <v>471740</v>
      </c>
      <c r="D81" s="373">
        <v>41718521</v>
      </c>
      <c r="E81" s="373">
        <v>10053480</v>
      </c>
      <c r="F81" s="373">
        <v>33862774</v>
      </c>
      <c r="G81" s="2" t="s">
        <v>5325</v>
      </c>
      <c r="H81" s="1">
        <v>8959644</v>
      </c>
      <c r="L81" s="35" t="s">
        <v>25</v>
      </c>
      <c r="M81" s="35" t="s">
        <v>25</v>
      </c>
      <c r="O81" s="357" t="s">
        <v>4709</v>
      </c>
      <c r="P81" s="357">
        <v>15943</v>
      </c>
      <c r="Q81" s="1">
        <v>307.34415000000001</v>
      </c>
      <c r="R81" s="1">
        <f t="shared" si="8"/>
        <v>4899987.78345</v>
      </c>
      <c r="S81" s="357" t="s">
        <v>422</v>
      </c>
      <c r="AB81" s="356"/>
      <c r="AC81" s="356"/>
      <c r="AD81" t="s">
        <v>25</v>
      </c>
      <c r="AJ81" s="20">
        <v>61</v>
      </c>
      <c r="AK81" s="37" t="s">
        <v>4250</v>
      </c>
      <c r="AL81" s="37">
        <v>-456081</v>
      </c>
      <c r="AM81" s="20">
        <v>1</v>
      </c>
      <c r="AN81" s="11">
        <f t="shared" si="16"/>
        <v>1233</v>
      </c>
      <c r="AO81" s="37">
        <f t="shared" si="14"/>
        <v>-562347873</v>
      </c>
      <c r="AP81" s="20"/>
    </row>
    <row r="82" spans="1:54">
      <c r="A82" s="322" t="s">
        <v>25</v>
      </c>
      <c r="B82" s="354" t="s">
        <v>6893</v>
      </c>
      <c r="C82" s="373">
        <v>453886</v>
      </c>
      <c r="D82" s="373">
        <v>38595784</v>
      </c>
      <c r="E82" s="373">
        <v>9214097</v>
      </c>
      <c r="F82" s="373">
        <v>34308378</v>
      </c>
      <c r="G82" s="2" t="s">
        <v>5326</v>
      </c>
      <c r="H82" s="355">
        <v>15154095.839328</v>
      </c>
      <c r="L82" s="35" t="s">
        <v>25</v>
      </c>
      <c r="M82" s="357" t="s">
        <v>690</v>
      </c>
      <c r="N82" s="357"/>
      <c r="O82" s="357" t="s">
        <v>4721</v>
      </c>
      <c r="P82" s="357">
        <v>3741</v>
      </c>
      <c r="Q82" s="1">
        <v>307.34415000000001</v>
      </c>
      <c r="R82" s="1">
        <f t="shared" si="8"/>
        <v>1149774.4651500001</v>
      </c>
      <c r="S82" s="357" t="s">
        <v>422</v>
      </c>
      <c r="AB82" s="356"/>
      <c r="AC82" s="356"/>
      <c r="AJ82" s="20">
        <v>62</v>
      </c>
      <c r="AK82" s="37" t="s">
        <v>4252</v>
      </c>
      <c r="AL82" s="37">
        <v>-500000</v>
      </c>
      <c r="AM82" s="20">
        <v>2</v>
      </c>
      <c r="AN82" s="11">
        <f t="shared" si="16"/>
        <v>1232</v>
      </c>
      <c r="AO82" s="37">
        <f t="shared" si="14"/>
        <v>-616000000</v>
      </c>
      <c r="AP82" s="20"/>
      <c r="AQ82" t="s">
        <v>25</v>
      </c>
      <c r="AY82" t="s">
        <v>25</v>
      </c>
    </row>
    <row r="83" spans="1:54">
      <c r="A83" s="354" t="s">
        <v>25</v>
      </c>
      <c r="B83" s="354" t="s">
        <v>6882</v>
      </c>
      <c r="C83" s="373">
        <v>468072</v>
      </c>
      <c r="D83" s="373">
        <v>39399994</v>
      </c>
      <c r="E83" s="373">
        <v>9124209</v>
      </c>
      <c r="F83" s="373">
        <v>32466840</v>
      </c>
      <c r="G83" s="2" t="s">
        <v>5331</v>
      </c>
      <c r="H83" s="3">
        <v>4108143</v>
      </c>
      <c r="J83" s="379"/>
      <c r="L83" s="35"/>
      <c r="M83" s="357" t="s">
        <v>4310</v>
      </c>
      <c r="N83" s="1">
        <v>172908000</v>
      </c>
      <c r="O83" s="357" t="s">
        <v>4726</v>
      </c>
      <c r="P83" s="357">
        <v>-6207</v>
      </c>
      <c r="Q83" s="1">
        <v>322.214</v>
      </c>
      <c r="R83" s="1">
        <f t="shared" si="8"/>
        <v>-1999982.298</v>
      </c>
      <c r="S83" s="357" t="s">
        <v>690</v>
      </c>
      <c r="AB83" s="356"/>
      <c r="AC83" s="356"/>
      <c r="AE83" s="76"/>
      <c r="AJ83" s="20">
        <v>63</v>
      </c>
      <c r="AK83" s="37" t="s">
        <v>4268</v>
      </c>
      <c r="AL83" s="37">
        <v>-6234370</v>
      </c>
      <c r="AM83" s="20">
        <v>3</v>
      </c>
      <c r="AN83" s="11">
        <f t="shared" si="16"/>
        <v>1230</v>
      </c>
      <c r="AO83" s="37">
        <f t="shared" si="14"/>
        <v>-7668275100</v>
      </c>
      <c r="AP83" s="20"/>
    </row>
    <row r="84" spans="1:54">
      <c r="A84" s="354" t="s">
        <v>25</v>
      </c>
      <c r="B84" s="354" t="s">
        <v>6878</v>
      </c>
      <c r="C84" s="373">
        <v>469316</v>
      </c>
      <c r="D84" s="373">
        <v>38277551</v>
      </c>
      <c r="E84" s="373">
        <v>9048005</v>
      </c>
      <c r="F84" s="373">
        <v>32640999</v>
      </c>
      <c r="G84" s="2" t="s">
        <v>5333</v>
      </c>
      <c r="H84" s="3">
        <v>6000000</v>
      </c>
      <c r="J84" s="379"/>
      <c r="M84" s="357" t="s">
        <v>4337</v>
      </c>
      <c r="N84" s="1">
        <v>1400000</v>
      </c>
      <c r="O84" s="357" t="s">
        <v>4726</v>
      </c>
      <c r="P84" s="357">
        <v>6207</v>
      </c>
      <c r="Q84" s="1">
        <v>322.214</v>
      </c>
      <c r="R84" s="1">
        <f t="shared" si="8"/>
        <v>1999982.298</v>
      </c>
      <c r="S84" s="357" t="s">
        <v>4316</v>
      </c>
      <c r="AB84" s="356"/>
      <c r="AC84" s="356"/>
      <c r="AE84" s="76"/>
      <c r="AJ84" s="20">
        <v>64</v>
      </c>
      <c r="AK84" s="37" t="s">
        <v>4277</v>
      </c>
      <c r="AL84" s="37">
        <v>1950957</v>
      </c>
      <c r="AM84" s="20">
        <v>4</v>
      </c>
      <c r="AN84" s="11">
        <f t="shared" si="15"/>
        <v>1227</v>
      </c>
      <c r="AO84" s="37">
        <f t="shared" si="14"/>
        <v>2393824239</v>
      </c>
      <c r="AP84" s="20"/>
      <c r="BB84" t="s">
        <v>25</v>
      </c>
    </row>
    <row r="85" spans="1:54">
      <c r="A85" s="354" t="s">
        <v>25</v>
      </c>
      <c r="B85" s="354" t="s">
        <v>6788</v>
      </c>
      <c r="C85" s="373">
        <v>442128</v>
      </c>
      <c r="D85" s="373">
        <v>36980981</v>
      </c>
      <c r="E85" s="373">
        <v>8921869</v>
      </c>
      <c r="F85" s="373">
        <v>32809329</v>
      </c>
      <c r="G85" s="2" t="s">
        <v>5337</v>
      </c>
      <c r="H85" s="3">
        <v>8301786</v>
      </c>
      <c r="M85" s="357" t="s">
        <v>4123</v>
      </c>
      <c r="N85" s="1">
        <v>247393</v>
      </c>
      <c r="O85" s="357" t="s">
        <v>4681</v>
      </c>
      <c r="P85" s="357">
        <v>776</v>
      </c>
      <c r="Q85" s="1">
        <v>322.214</v>
      </c>
      <c r="R85" s="1">
        <f t="shared" si="8"/>
        <v>250038.06400000001</v>
      </c>
      <c r="S85" s="357" t="s">
        <v>422</v>
      </c>
      <c r="AB85" s="356"/>
      <c r="AC85" s="356"/>
      <c r="AE85" s="76"/>
      <c r="AJ85" s="20">
        <v>65</v>
      </c>
      <c r="AK85" s="37" t="s">
        <v>4299</v>
      </c>
      <c r="AL85" s="37">
        <v>600000</v>
      </c>
      <c r="AM85" s="20">
        <v>5</v>
      </c>
      <c r="AN85" s="11">
        <f t="shared" si="15"/>
        <v>1223</v>
      </c>
      <c r="AO85" s="37">
        <f t="shared" si="14"/>
        <v>733800000</v>
      </c>
      <c r="AP85" s="20"/>
    </row>
    <row r="86" spans="1:54">
      <c r="A86" s="354"/>
      <c r="B86" s="354" t="s">
        <v>6873</v>
      </c>
      <c r="C86" s="373">
        <v>409513</v>
      </c>
      <c r="D86" s="373">
        <v>36818570</v>
      </c>
      <c r="E86" s="373">
        <v>8789365</v>
      </c>
      <c r="F86" s="373">
        <v>33104439</v>
      </c>
      <c r="G86" s="2" t="s">
        <v>5341</v>
      </c>
      <c r="H86" s="3">
        <v>50725508.571864001</v>
      </c>
      <c r="M86" s="357" t="s">
        <v>4122</v>
      </c>
      <c r="N86" s="1">
        <v>6780000</v>
      </c>
      <c r="O86" s="357" t="s">
        <v>4745</v>
      </c>
      <c r="P86" s="357">
        <v>1524</v>
      </c>
      <c r="Q86" s="1">
        <v>314.95999999999998</v>
      </c>
      <c r="R86" s="1">
        <f t="shared" si="8"/>
        <v>479999.04</v>
      </c>
      <c r="S86" s="357" t="s">
        <v>1005</v>
      </c>
      <c r="AB86" s="356"/>
      <c r="AC86" s="356"/>
      <c r="AE86" s="76"/>
      <c r="AJ86" s="20">
        <v>66</v>
      </c>
      <c r="AK86" s="37" t="s">
        <v>4307</v>
      </c>
      <c r="AL86" s="37">
        <v>7500000</v>
      </c>
      <c r="AM86" s="20">
        <v>2</v>
      </c>
      <c r="AN86" s="11">
        <f t="shared" si="15"/>
        <v>1218</v>
      </c>
      <c r="AO86" s="37">
        <f t="shared" si="14"/>
        <v>9135000000</v>
      </c>
      <c r="AP86" s="20"/>
    </row>
    <row r="87" spans="1:54">
      <c r="A87" s="354"/>
      <c r="B87" s="354" t="s">
        <v>6872</v>
      </c>
      <c r="C87" s="373">
        <v>387883</v>
      </c>
      <c r="D87" s="373">
        <v>37338251</v>
      </c>
      <c r="E87" s="373">
        <v>8831107</v>
      </c>
      <c r="F87" s="373">
        <v>33387888</v>
      </c>
      <c r="G87" s="2" t="s">
        <v>5342</v>
      </c>
      <c r="H87" s="3">
        <v>2281961.458596</v>
      </c>
      <c r="M87" s="357" t="s">
        <v>4422</v>
      </c>
      <c r="N87" s="1">
        <v>-4000000</v>
      </c>
      <c r="O87" s="357" t="s">
        <v>4752</v>
      </c>
      <c r="P87" s="357">
        <v>4435</v>
      </c>
      <c r="Q87" s="1">
        <v>316.4375</v>
      </c>
      <c r="R87" s="1">
        <f t="shared" si="8"/>
        <v>1403400.3125</v>
      </c>
      <c r="S87" s="357" t="s">
        <v>422</v>
      </c>
      <c r="AB87" s="356"/>
      <c r="AC87" s="356"/>
      <c r="AD87" t="s">
        <v>25</v>
      </c>
      <c r="AE87" s="76"/>
      <c r="AJ87" s="20">
        <v>67</v>
      </c>
      <c r="AK87" s="37" t="s">
        <v>4311</v>
      </c>
      <c r="AL87" s="37">
        <v>-587816</v>
      </c>
      <c r="AM87" s="20">
        <v>3</v>
      </c>
      <c r="AN87" s="11">
        <f t="shared" si="15"/>
        <v>1216</v>
      </c>
      <c r="AO87" s="37">
        <f t="shared" si="14"/>
        <v>-714784256</v>
      </c>
      <c r="AP87" s="20"/>
    </row>
    <row r="88" spans="1:54">
      <c r="A88" s="354"/>
      <c r="B88" s="354" t="s">
        <v>6867</v>
      </c>
      <c r="C88" s="373">
        <v>385805</v>
      </c>
      <c r="D88" s="373">
        <v>37781250</v>
      </c>
      <c r="E88" s="373">
        <v>8976216</v>
      </c>
      <c r="F88" s="373">
        <v>33293273</v>
      </c>
      <c r="G88" s="2" t="s">
        <v>5349</v>
      </c>
      <c r="H88" s="3">
        <v>10998285</v>
      </c>
      <c r="M88" s="357" t="s">
        <v>4446</v>
      </c>
      <c r="N88" s="1">
        <v>16727037</v>
      </c>
      <c r="O88" s="357" t="s">
        <v>4755</v>
      </c>
      <c r="P88" s="357">
        <v>624</v>
      </c>
      <c r="Q88" s="1">
        <v>320.5</v>
      </c>
      <c r="R88" s="1">
        <f t="shared" si="8"/>
        <v>199992</v>
      </c>
      <c r="S88" s="357" t="s">
        <v>422</v>
      </c>
      <c r="AB88" s="356"/>
      <c r="AC88" s="356"/>
      <c r="AE88" s="76"/>
      <c r="AJ88" s="20">
        <v>68</v>
      </c>
      <c r="AK88" s="37" t="s">
        <v>4310</v>
      </c>
      <c r="AL88" s="37">
        <v>-907489</v>
      </c>
      <c r="AM88" s="20">
        <v>0</v>
      </c>
      <c r="AN88" s="11">
        <f>AN89+AM88</f>
        <v>1213</v>
      </c>
      <c r="AO88" s="37">
        <f t="shared" si="14"/>
        <v>-1100784157</v>
      </c>
      <c r="AP88" s="20"/>
      <c r="AR88" t="s">
        <v>25</v>
      </c>
      <c r="AX88" t="s">
        <v>25</v>
      </c>
    </row>
    <row r="89" spans="1:54">
      <c r="A89" s="354"/>
      <c r="B89" s="354" t="s">
        <v>6866</v>
      </c>
      <c r="C89" s="373">
        <v>355297</v>
      </c>
      <c r="D89" s="373">
        <v>37329500</v>
      </c>
      <c r="E89" s="373">
        <v>9126892</v>
      </c>
      <c r="F89" s="373">
        <v>32942272</v>
      </c>
      <c r="G89" s="2" t="s">
        <v>5350</v>
      </c>
      <c r="H89" s="3">
        <v>983018.96187300002</v>
      </c>
      <c r="M89" s="357" t="s">
        <v>4451</v>
      </c>
      <c r="N89" s="1">
        <v>46460683</v>
      </c>
      <c r="O89" s="357" t="s">
        <v>4760</v>
      </c>
      <c r="P89" s="357">
        <v>1086</v>
      </c>
      <c r="Q89" s="1">
        <v>317.55</v>
      </c>
      <c r="R89" s="1">
        <f t="shared" si="8"/>
        <v>344859.3</v>
      </c>
      <c r="S89" s="357" t="s">
        <v>422</v>
      </c>
      <c r="AB89" s="356"/>
      <c r="AC89" s="356"/>
      <c r="AE89" t="s">
        <v>25</v>
      </c>
      <c r="AJ89" s="20">
        <v>69</v>
      </c>
      <c r="AK89" s="37" t="s">
        <v>4310</v>
      </c>
      <c r="AL89" s="37">
        <v>2450000</v>
      </c>
      <c r="AM89" s="20">
        <v>1</v>
      </c>
      <c r="AN89" s="11">
        <f t="shared" si="15"/>
        <v>1213</v>
      </c>
      <c r="AO89" s="37">
        <f t="shared" si="14"/>
        <v>2971850000</v>
      </c>
      <c r="AP89" s="20" t="s">
        <v>4335</v>
      </c>
      <c r="AS89" t="s">
        <v>25</v>
      </c>
      <c r="AT89" t="s">
        <v>25</v>
      </c>
    </row>
    <row r="90" spans="1:54">
      <c r="A90" s="354"/>
      <c r="B90" s="354" t="s">
        <v>6863</v>
      </c>
      <c r="C90" s="373">
        <v>351644</v>
      </c>
      <c r="D90" s="373">
        <v>36977897</v>
      </c>
      <c r="E90" s="373">
        <v>8974485</v>
      </c>
      <c r="F90" s="373">
        <v>32564032</v>
      </c>
      <c r="G90" s="2" t="s">
        <v>5352</v>
      </c>
      <c r="H90" s="3">
        <v>17049271.032000002</v>
      </c>
      <c r="M90" s="357" t="s">
        <v>4452</v>
      </c>
      <c r="N90" s="1">
        <v>19663646</v>
      </c>
      <c r="O90" s="357" t="s">
        <v>4765</v>
      </c>
      <c r="P90" s="357">
        <v>2820</v>
      </c>
      <c r="Q90" s="1">
        <v>319.1096</v>
      </c>
      <c r="R90" s="1">
        <f t="shared" si="8"/>
        <v>899889.07200000004</v>
      </c>
      <c r="S90" s="357" t="s">
        <v>422</v>
      </c>
      <c r="AB90" s="356"/>
      <c r="AC90" s="356"/>
      <c r="AJ90" s="20">
        <v>70</v>
      </c>
      <c r="AK90" s="37" t="s">
        <v>4337</v>
      </c>
      <c r="AL90" s="37">
        <v>1500000</v>
      </c>
      <c r="AM90" s="20">
        <v>1</v>
      </c>
      <c r="AN90" s="11">
        <f t="shared" si="15"/>
        <v>1212</v>
      </c>
      <c r="AO90" s="37">
        <f t="shared" si="14"/>
        <v>1818000000</v>
      </c>
      <c r="AP90" s="20"/>
      <c r="AR90" t="s">
        <v>25</v>
      </c>
      <c r="AW90" t="s">
        <v>25</v>
      </c>
    </row>
    <row r="91" spans="1:54">
      <c r="A91" s="354" t="s">
        <v>25</v>
      </c>
      <c r="B91" s="354" t="s">
        <v>6854</v>
      </c>
      <c r="C91" s="373">
        <v>372558</v>
      </c>
      <c r="D91" s="373">
        <v>37554731</v>
      </c>
      <c r="E91" s="373">
        <v>9266678</v>
      </c>
      <c r="F91" s="373">
        <v>32984525</v>
      </c>
      <c r="G91" s="2" t="s">
        <v>5355</v>
      </c>
      <c r="H91" s="3">
        <v>6829998</v>
      </c>
      <c r="M91" s="357" t="s">
        <v>4473</v>
      </c>
      <c r="N91" s="1">
        <v>4374525</v>
      </c>
      <c r="O91" s="357" t="s">
        <v>4768</v>
      </c>
      <c r="P91" s="357">
        <v>1145</v>
      </c>
      <c r="Q91" s="1">
        <v>325.44</v>
      </c>
      <c r="R91" s="1">
        <f t="shared" si="8"/>
        <v>372628.8</v>
      </c>
      <c r="S91" s="357" t="s">
        <v>422</v>
      </c>
      <c r="AB91" s="356"/>
      <c r="AC91" s="356"/>
      <c r="AJ91" s="20">
        <v>71</v>
      </c>
      <c r="AK91" s="37" t="s">
        <v>4343</v>
      </c>
      <c r="AL91" s="37">
        <v>2648000</v>
      </c>
      <c r="AM91" s="20">
        <v>1</v>
      </c>
      <c r="AN91" s="11">
        <f t="shared" si="15"/>
        <v>1211</v>
      </c>
      <c r="AO91" s="37">
        <f t="shared" si="14"/>
        <v>3206728000</v>
      </c>
      <c r="AP91" s="20" t="s">
        <v>4344</v>
      </c>
      <c r="AW91" t="s">
        <v>25</v>
      </c>
    </row>
    <row r="92" spans="1:54">
      <c r="A92" s="354"/>
      <c r="B92" s="354" t="s">
        <v>6853</v>
      </c>
      <c r="C92" s="373">
        <v>354811</v>
      </c>
      <c r="D92" s="373">
        <v>38043191</v>
      </c>
      <c r="E92" s="373">
        <v>9312125</v>
      </c>
      <c r="F92" s="373">
        <v>32026938</v>
      </c>
      <c r="G92" s="2" t="s">
        <v>4127</v>
      </c>
      <c r="H92" s="3">
        <v>6982608.8207999999</v>
      </c>
      <c r="M92" s="357" t="s">
        <v>4484</v>
      </c>
      <c r="N92" s="1">
        <v>6550580</v>
      </c>
      <c r="O92" s="357" t="s">
        <v>4776</v>
      </c>
      <c r="P92" s="357">
        <v>20153</v>
      </c>
      <c r="Q92" s="1">
        <v>322</v>
      </c>
      <c r="R92" s="1">
        <f t="shared" si="8"/>
        <v>6489266</v>
      </c>
      <c r="S92" s="357" t="s">
        <v>422</v>
      </c>
      <c r="AA92" t="s">
        <v>25</v>
      </c>
      <c r="AB92" s="356"/>
      <c r="AC92" s="356"/>
      <c r="AJ92" s="20">
        <v>72</v>
      </c>
      <c r="AK92" s="37" t="s">
        <v>4123</v>
      </c>
      <c r="AL92" s="37">
        <v>615000</v>
      </c>
      <c r="AM92" s="20">
        <v>4</v>
      </c>
      <c r="AN92" s="11">
        <f t="shared" si="15"/>
        <v>1210</v>
      </c>
      <c r="AO92" s="37">
        <f t="shared" si="14"/>
        <v>744150000</v>
      </c>
      <c r="AP92" s="20"/>
      <c r="AX92" t="s">
        <v>25</v>
      </c>
    </row>
    <row r="93" spans="1:54">
      <c r="A93" s="354"/>
      <c r="B93" s="354" t="s">
        <v>6852</v>
      </c>
      <c r="C93" s="373">
        <v>334855</v>
      </c>
      <c r="D93" s="373">
        <v>37632793</v>
      </c>
      <c r="E93" s="373">
        <v>9354560</v>
      </c>
      <c r="F93" s="373">
        <v>31783799</v>
      </c>
      <c r="G93" s="2" t="s">
        <v>5372</v>
      </c>
      <c r="H93" s="3">
        <v>7510131.0216000006</v>
      </c>
      <c r="M93" s="357" t="s">
        <v>4486</v>
      </c>
      <c r="N93" s="1">
        <v>6650895</v>
      </c>
      <c r="O93" s="357" t="s">
        <v>4786</v>
      </c>
      <c r="P93" s="357">
        <v>93720</v>
      </c>
      <c r="Q93" s="1">
        <v>325.435</v>
      </c>
      <c r="R93" s="1">
        <f t="shared" si="8"/>
        <v>30499768.199999999</v>
      </c>
      <c r="S93" s="357" t="s">
        <v>1005</v>
      </c>
      <c r="AB93" s="356"/>
      <c r="AC93" s="356"/>
      <c r="AJ93" s="20">
        <v>73</v>
      </c>
      <c r="AK93" s="37" t="s">
        <v>4354</v>
      </c>
      <c r="AL93" s="37">
        <v>14000000</v>
      </c>
      <c r="AM93" s="20">
        <v>2</v>
      </c>
      <c r="AN93" s="11">
        <f>AN94+AM93</f>
        <v>1206</v>
      </c>
      <c r="AO93" s="37">
        <f t="shared" si="14"/>
        <v>16884000000</v>
      </c>
      <c r="AP93" s="20"/>
    </row>
    <row r="94" spans="1:54">
      <c r="A94" s="354"/>
      <c r="B94" s="354" t="s">
        <v>6851</v>
      </c>
      <c r="C94" s="373">
        <v>348088</v>
      </c>
      <c r="D94" s="373">
        <v>38494462</v>
      </c>
      <c r="E94" s="373">
        <v>9370072</v>
      </c>
      <c r="F94" s="373">
        <v>31553649</v>
      </c>
      <c r="G94" s="2" t="s">
        <v>5377</v>
      </c>
      <c r="H94" s="3">
        <v>10397191</v>
      </c>
      <c r="M94" s="357" t="s">
        <v>4499</v>
      </c>
      <c r="N94" s="1">
        <v>2145814</v>
      </c>
      <c r="O94" s="357" t="s">
        <v>4786</v>
      </c>
      <c r="P94" s="357">
        <v>20895</v>
      </c>
      <c r="Q94" s="1">
        <v>325.435</v>
      </c>
      <c r="R94" s="1">
        <f t="shared" si="8"/>
        <v>6799964.3250000002</v>
      </c>
      <c r="S94" s="357" t="s">
        <v>690</v>
      </c>
      <c r="AB94" s="356"/>
      <c r="AC94" s="356"/>
      <c r="AJ94" s="20">
        <v>74</v>
      </c>
      <c r="AK94" s="37" t="s">
        <v>4358</v>
      </c>
      <c r="AL94" s="37">
        <v>1313000</v>
      </c>
      <c r="AM94" s="20">
        <v>0</v>
      </c>
      <c r="AN94" s="11">
        <f>AN95+AM94</f>
        <v>1204</v>
      </c>
      <c r="AO94" s="37">
        <f t="shared" si="14"/>
        <v>1580852000</v>
      </c>
      <c r="AP94" s="20"/>
      <c r="AS94" t="s">
        <v>25</v>
      </c>
    </row>
    <row r="95" spans="1:54">
      <c r="A95" s="354"/>
      <c r="B95" s="354" t="s">
        <v>6850</v>
      </c>
      <c r="C95" s="373">
        <v>358198</v>
      </c>
      <c r="D95" s="373">
        <v>38952936</v>
      </c>
      <c r="E95" s="373">
        <v>9314354</v>
      </c>
      <c r="F95" s="373">
        <v>31341277</v>
      </c>
      <c r="G95" s="2" t="s">
        <v>5385</v>
      </c>
      <c r="H95" s="3">
        <v>195059.35799999998</v>
      </c>
      <c r="M95" s="357" t="s">
        <v>4509</v>
      </c>
      <c r="N95" s="1">
        <v>4369730</v>
      </c>
      <c r="O95" s="357" t="s">
        <v>4793</v>
      </c>
      <c r="P95" s="357">
        <v>2611</v>
      </c>
      <c r="Q95" s="1">
        <v>325.435</v>
      </c>
      <c r="R95" s="1">
        <f t="shared" si="8"/>
        <v>849710.78500000003</v>
      </c>
      <c r="S95" s="357" t="s">
        <v>690</v>
      </c>
      <c r="AB95" s="356"/>
      <c r="AC95" s="356"/>
      <c r="AJ95" s="11">
        <v>75</v>
      </c>
      <c r="AK95" s="3" t="s">
        <v>4358</v>
      </c>
      <c r="AL95" s="3">
        <v>2269000</v>
      </c>
      <c r="AM95" s="11">
        <v>1</v>
      </c>
      <c r="AN95" s="11">
        <f t="shared" ref="AN95:AN120" si="17">AN96+AM95</f>
        <v>1204</v>
      </c>
      <c r="AO95" s="37">
        <f t="shared" si="14"/>
        <v>2731876000</v>
      </c>
      <c r="AP95" s="11"/>
    </row>
    <row r="96" spans="1:54">
      <c r="A96" s="354"/>
      <c r="B96" s="354" t="s">
        <v>6848</v>
      </c>
      <c r="C96" s="373">
        <v>378185</v>
      </c>
      <c r="D96" s="373">
        <v>33616489</v>
      </c>
      <c r="E96" s="373">
        <v>9218926</v>
      </c>
      <c r="F96" s="373">
        <v>31625896</v>
      </c>
      <c r="G96" s="2" t="s">
        <v>5389</v>
      </c>
      <c r="H96" s="3">
        <v>744082</v>
      </c>
      <c r="M96" s="357" t="s">
        <v>4511</v>
      </c>
      <c r="N96" s="1">
        <v>8739459</v>
      </c>
      <c r="O96" s="357" t="s">
        <v>4799</v>
      </c>
      <c r="P96" s="357">
        <v>6750</v>
      </c>
      <c r="Q96" s="1">
        <v>339.3</v>
      </c>
      <c r="R96" s="1">
        <f t="shared" si="8"/>
        <v>2290275</v>
      </c>
      <c r="S96" s="357" t="s">
        <v>690</v>
      </c>
      <c r="AB96" s="356"/>
      <c r="AC96" s="356"/>
      <c r="AJ96" s="11">
        <v>76</v>
      </c>
      <c r="AK96" s="3" t="s">
        <v>4124</v>
      </c>
      <c r="AL96" s="3">
        <v>750000</v>
      </c>
      <c r="AM96" s="11">
        <v>4</v>
      </c>
      <c r="AN96" s="11">
        <f t="shared" si="17"/>
        <v>1203</v>
      </c>
      <c r="AO96" s="37">
        <f t="shared" ref="AO96:AO120" si="18">AL96*AN96</f>
        <v>902250000</v>
      </c>
      <c r="AP96" s="11"/>
      <c r="AS96" t="s">
        <v>25</v>
      </c>
    </row>
    <row r="97" spans="1:44">
      <c r="A97" s="354"/>
      <c r="B97" s="354" t="s">
        <v>6847</v>
      </c>
      <c r="C97" s="354">
        <v>379455</v>
      </c>
      <c r="D97" s="357">
        <v>33866189</v>
      </c>
      <c r="E97" s="373">
        <v>9138736</v>
      </c>
      <c r="F97" s="373">
        <v>31938891</v>
      </c>
      <c r="G97" s="2" t="s">
        <v>5391</v>
      </c>
      <c r="H97" s="3">
        <v>920308.446</v>
      </c>
      <c r="M97" s="357" t="s">
        <v>4520</v>
      </c>
      <c r="N97" s="1">
        <v>6667654</v>
      </c>
      <c r="O97" s="357" t="s">
        <v>4805</v>
      </c>
      <c r="P97" s="357">
        <v>1850</v>
      </c>
      <c r="Q97" s="1">
        <v>334.10050000000001</v>
      </c>
      <c r="R97" s="1">
        <f t="shared" si="8"/>
        <v>618085.92500000005</v>
      </c>
      <c r="S97" s="357" t="s">
        <v>422</v>
      </c>
      <c r="AB97" s="356"/>
      <c r="AC97" s="356"/>
      <c r="AJ97" s="11">
        <v>77</v>
      </c>
      <c r="AK97" s="3" t="s">
        <v>4362</v>
      </c>
      <c r="AL97" s="3">
        <v>1900000</v>
      </c>
      <c r="AM97" s="11">
        <v>3</v>
      </c>
      <c r="AN97" s="11">
        <f t="shared" si="17"/>
        <v>1199</v>
      </c>
      <c r="AO97" s="37">
        <f t="shared" si="18"/>
        <v>2278100000</v>
      </c>
      <c r="AP97" s="11"/>
    </row>
    <row r="98" spans="1:44">
      <c r="A98" s="354"/>
      <c r="B98" s="173" t="s">
        <v>6846</v>
      </c>
      <c r="C98" s="386">
        <v>371740</v>
      </c>
      <c r="D98" s="386">
        <v>33312756</v>
      </c>
      <c r="E98" s="386">
        <v>8899110</v>
      </c>
      <c r="F98" s="373">
        <v>32107752</v>
      </c>
      <c r="G98" s="2" t="s">
        <v>5392</v>
      </c>
      <c r="H98" s="3">
        <v>4635809.8416840006</v>
      </c>
      <c r="M98" s="357" t="s">
        <v>4527</v>
      </c>
      <c r="N98" s="1">
        <v>8981245</v>
      </c>
      <c r="O98" s="357" t="s">
        <v>4805</v>
      </c>
      <c r="P98" s="357">
        <v>-1194</v>
      </c>
      <c r="Q98" s="1">
        <v>335</v>
      </c>
      <c r="R98" s="1">
        <f t="shared" si="8"/>
        <v>-399990</v>
      </c>
      <c r="S98" s="357" t="s">
        <v>4316</v>
      </c>
      <c r="AA98" t="s">
        <v>25</v>
      </c>
      <c r="AB98" s="356"/>
      <c r="AC98" s="356"/>
      <c r="AJ98" s="11">
        <v>78</v>
      </c>
      <c r="AK98" s="3" t="s">
        <v>4370</v>
      </c>
      <c r="AL98" s="3">
        <v>6400000</v>
      </c>
      <c r="AM98" s="11">
        <v>1</v>
      </c>
      <c r="AN98" s="11">
        <f t="shared" si="17"/>
        <v>1196</v>
      </c>
      <c r="AO98" s="37">
        <f t="shared" si="18"/>
        <v>7654400000</v>
      </c>
      <c r="AP98" s="11"/>
    </row>
    <row r="99" spans="1:44">
      <c r="A99" s="354"/>
      <c r="B99" s="354" t="s">
        <v>6845</v>
      </c>
      <c r="C99" s="373">
        <v>364203</v>
      </c>
      <c r="D99" s="373">
        <v>32308367</v>
      </c>
      <c r="E99" s="373">
        <v>8972536</v>
      </c>
      <c r="F99" s="386">
        <v>30745420</v>
      </c>
      <c r="G99" s="2" t="s">
        <v>5415</v>
      </c>
      <c r="H99" s="3">
        <v>58508002.009000003</v>
      </c>
      <c r="M99" s="357" t="s">
        <v>4531</v>
      </c>
      <c r="N99" s="1">
        <v>9181756</v>
      </c>
      <c r="O99" s="357" t="s">
        <v>4805</v>
      </c>
      <c r="P99" s="357">
        <v>1194</v>
      </c>
      <c r="Q99" s="1">
        <v>335</v>
      </c>
      <c r="R99" s="1">
        <f t="shared" si="8"/>
        <v>399990</v>
      </c>
      <c r="S99" s="357" t="s">
        <v>690</v>
      </c>
      <c r="AA99" t="s">
        <v>25</v>
      </c>
      <c r="AB99" s="356"/>
      <c r="AC99" s="356"/>
      <c r="AJ99" s="11">
        <v>79</v>
      </c>
      <c r="AK99" s="3" t="s">
        <v>4368</v>
      </c>
      <c r="AL99" s="3">
        <v>5000</v>
      </c>
      <c r="AM99" s="11">
        <v>5</v>
      </c>
      <c r="AN99" s="11">
        <f t="shared" si="17"/>
        <v>1195</v>
      </c>
      <c r="AO99" s="37">
        <f t="shared" si="18"/>
        <v>5975000</v>
      </c>
      <c r="AP99" s="11"/>
      <c r="AR99" t="s">
        <v>25</v>
      </c>
    </row>
    <row r="100" spans="1:44">
      <c r="A100" s="354"/>
      <c r="B100" s="354" t="s">
        <v>6844</v>
      </c>
      <c r="C100" s="373">
        <v>364081</v>
      </c>
      <c r="D100" s="373">
        <v>32039128</v>
      </c>
      <c r="E100" s="373">
        <v>8899758</v>
      </c>
      <c r="F100" s="373">
        <v>30523715</v>
      </c>
      <c r="G100" s="2" t="s">
        <v>5417</v>
      </c>
      <c r="H100" s="3">
        <v>2245515.5410799999</v>
      </c>
      <c r="M100" s="357" t="s">
        <v>4533</v>
      </c>
      <c r="N100" s="1">
        <v>11811208</v>
      </c>
      <c r="O100" s="357" t="s">
        <v>4812</v>
      </c>
      <c r="P100" s="357">
        <v>433</v>
      </c>
      <c r="Q100" s="1">
        <v>345.68</v>
      </c>
      <c r="R100" s="1">
        <f t="shared" si="8"/>
        <v>149679.44</v>
      </c>
      <c r="S100" s="357" t="s">
        <v>690</v>
      </c>
      <c r="AB100" s="356"/>
      <c r="AC100" s="356"/>
      <c r="AJ100" s="11">
        <v>80</v>
      </c>
      <c r="AK100" s="3" t="s">
        <v>4392</v>
      </c>
      <c r="AL100" s="3">
        <v>-1750148</v>
      </c>
      <c r="AM100" s="11">
        <v>1</v>
      </c>
      <c r="AN100" s="11">
        <f t="shared" si="17"/>
        <v>1190</v>
      </c>
      <c r="AO100" s="37">
        <f t="shared" si="18"/>
        <v>-2082676120</v>
      </c>
      <c r="AP100" s="11"/>
    </row>
    <row r="101" spans="1:44">
      <c r="A101" s="354"/>
      <c r="B101" s="354" t="s">
        <v>6843</v>
      </c>
      <c r="C101" s="373">
        <v>391841</v>
      </c>
      <c r="D101" s="373">
        <v>32743923</v>
      </c>
      <c r="E101" s="373">
        <v>8938206</v>
      </c>
      <c r="F101" s="373">
        <v>30925799</v>
      </c>
      <c r="G101" s="2" t="s">
        <v>5419</v>
      </c>
      <c r="H101" s="3">
        <v>18404699.3442</v>
      </c>
      <c r="M101" s="357" t="s">
        <v>4545</v>
      </c>
      <c r="N101" s="1">
        <v>41248054</v>
      </c>
      <c r="O101" s="357" t="s">
        <v>4816</v>
      </c>
      <c r="P101" s="357">
        <v>55459</v>
      </c>
      <c r="Q101" s="1">
        <v>362.51978000000003</v>
      </c>
      <c r="R101" s="1">
        <f t="shared" si="8"/>
        <v>20104984.479020003</v>
      </c>
      <c r="S101" s="357" t="s">
        <v>422</v>
      </c>
      <c r="AB101" s="356"/>
      <c r="AC101" s="356"/>
      <c r="AJ101" s="11">
        <v>81</v>
      </c>
      <c r="AK101" s="3" t="s">
        <v>4395</v>
      </c>
      <c r="AL101" s="3">
        <v>400000</v>
      </c>
      <c r="AM101" s="11">
        <v>0</v>
      </c>
      <c r="AN101" s="11">
        <f t="shared" si="17"/>
        <v>1189</v>
      </c>
      <c r="AO101" s="37">
        <f t="shared" si="18"/>
        <v>475600000</v>
      </c>
      <c r="AP101" s="11"/>
    </row>
    <row r="102" spans="1:44">
      <c r="A102" s="354"/>
      <c r="B102" s="354" t="s">
        <v>6821</v>
      </c>
      <c r="C102" s="373">
        <v>39875</v>
      </c>
      <c r="D102" s="373">
        <v>34422304</v>
      </c>
      <c r="E102" s="373">
        <v>8910803</v>
      </c>
      <c r="F102" s="373">
        <v>30678444</v>
      </c>
      <c r="G102" s="2" t="s">
        <v>5422</v>
      </c>
      <c r="H102" s="3">
        <v>2264658.5922190002</v>
      </c>
      <c r="M102" s="357" t="s">
        <v>4552</v>
      </c>
      <c r="N102" s="1">
        <v>37328780</v>
      </c>
      <c r="O102" s="357" t="s">
        <v>4820</v>
      </c>
      <c r="P102" s="357">
        <v>-57212</v>
      </c>
      <c r="Q102" s="1">
        <v>368.45400000000001</v>
      </c>
      <c r="R102" s="1">
        <f t="shared" si="8"/>
        <v>-21079990.248</v>
      </c>
      <c r="S102" s="357" t="s">
        <v>422</v>
      </c>
      <c r="AB102" s="356"/>
      <c r="AC102" s="356"/>
      <c r="AJ102" s="11">
        <v>82</v>
      </c>
      <c r="AK102" s="3" t="s">
        <v>4395</v>
      </c>
      <c r="AL102" s="3">
        <v>-2105421</v>
      </c>
      <c r="AM102" s="11">
        <v>1</v>
      </c>
      <c r="AN102" s="11">
        <f t="shared" si="17"/>
        <v>1189</v>
      </c>
      <c r="AO102" s="37">
        <f t="shared" si="18"/>
        <v>-2503345569</v>
      </c>
      <c r="AP102" s="11"/>
      <c r="AQ102" t="s">
        <v>25</v>
      </c>
    </row>
    <row r="103" spans="1:44">
      <c r="A103" s="354"/>
      <c r="B103" s="2" t="s">
        <v>6836</v>
      </c>
      <c r="C103" s="373">
        <v>384553</v>
      </c>
      <c r="D103" s="373">
        <v>34531289</v>
      </c>
      <c r="E103" s="317">
        <v>9053147</v>
      </c>
      <c r="F103" s="373">
        <v>30058048</v>
      </c>
      <c r="G103" s="2" t="s">
        <v>5423</v>
      </c>
      <c r="H103" s="3">
        <v>22877413.789960001</v>
      </c>
      <c r="M103" s="357" t="s">
        <v>4627</v>
      </c>
      <c r="N103" s="1">
        <v>-2194100</v>
      </c>
      <c r="O103" s="357" t="s">
        <v>4821</v>
      </c>
      <c r="P103" s="357">
        <v>-15881</v>
      </c>
      <c r="Q103" s="1">
        <v>374.61599999999999</v>
      </c>
      <c r="R103" s="1">
        <f t="shared" si="8"/>
        <v>-5949276.6959999995</v>
      </c>
      <c r="S103" s="357" t="s">
        <v>422</v>
      </c>
      <c r="AB103" s="356"/>
      <c r="AC103" s="356"/>
      <c r="AJ103" s="11">
        <v>83</v>
      </c>
      <c r="AK103" s="3" t="s">
        <v>4398</v>
      </c>
      <c r="AL103" s="3">
        <v>-5527618</v>
      </c>
      <c r="AM103" s="11">
        <v>0</v>
      </c>
      <c r="AN103" s="11">
        <f t="shared" si="17"/>
        <v>1188</v>
      </c>
      <c r="AO103" s="37">
        <f t="shared" si="18"/>
        <v>-6566810184</v>
      </c>
      <c r="AP103" s="11"/>
    </row>
    <row r="104" spans="1:44">
      <c r="A104" s="354"/>
      <c r="B104" s="2" t="s">
        <v>6833</v>
      </c>
      <c r="C104" s="373">
        <v>366536</v>
      </c>
      <c r="D104" s="373">
        <v>33252790</v>
      </c>
      <c r="E104" s="317">
        <v>8745989</v>
      </c>
      <c r="F104" s="317">
        <v>30377615</v>
      </c>
      <c r="G104" s="2" t="s">
        <v>5424</v>
      </c>
      <c r="H104" s="3">
        <v>2362539.4373280001</v>
      </c>
      <c r="M104" s="357" t="s">
        <v>4662</v>
      </c>
      <c r="N104" s="1">
        <v>20193916</v>
      </c>
      <c r="O104" s="357" t="s">
        <v>4827</v>
      </c>
      <c r="P104" s="357">
        <v>-41289</v>
      </c>
      <c r="Q104" s="1">
        <v>372.27</v>
      </c>
      <c r="R104" s="1">
        <f t="shared" si="8"/>
        <v>-15370656.029999999</v>
      </c>
      <c r="S104" s="357" t="s">
        <v>422</v>
      </c>
      <c r="AB104" s="356"/>
      <c r="AC104" s="356"/>
      <c r="AJ104" s="11">
        <v>84</v>
      </c>
      <c r="AK104" s="3" t="s">
        <v>4398</v>
      </c>
      <c r="AL104" s="3">
        <v>3900000</v>
      </c>
      <c r="AM104" s="11">
        <v>3</v>
      </c>
      <c r="AN104" s="11">
        <f t="shared" si="17"/>
        <v>1188</v>
      </c>
      <c r="AO104" s="37">
        <f t="shared" si="18"/>
        <v>4633200000</v>
      </c>
      <c r="AP104" s="11"/>
    </row>
    <row r="105" spans="1:44">
      <c r="A105" s="354"/>
      <c r="B105" s="2" t="s">
        <v>6832</v>
      </c>
      <c r="C105" s="373">
        <v>396633</v>
      </c>
      <c r="D105" s="373">
        <v>32816664</v>
      </c>
      <c r="E105" s="317">
        <v>8802341</v>
      </c>
      <c r="F105" s="317">
        <v>28294041</v>
      </c>
      <c r="G105" s="2" t="s">
        <v>5425</v>
      </c>
      <c r="H105" s="3">
        <v>16042676.656608</v>
      </c>
      <c r="M105" s="357" t="s">
        <v>4726</v>
      </c>
      <c r="N105" s="1">
        <v>-2000000</v>
      </c>
      <c r="O105" s="357" t="s">
        <v>4833</v>
      </c>
      <c r="P105" s="357">
        <v>13563</v>
      </c>
      <c r="Q105" s="1">
        <v>365.69799999999998</v>
      </c>
      <c r="R105" s="1">
        <f t="shared" si="8"/>
        <v>4959961.9739999995</v>
      </c>
      <c r="S105" s="357" t="s">
        <v>422</v>
      </c>
      <c r="AB105" s="356"/>
      <c r="AC105" s="356"/>
      <c r="AJ105" s="11">
        <v>85</v>
      </c>
      <c r="AK105" s="3" t="s">
        <v>4399</v>
      </c>
      <c r="AL105" s="3">
        <v>-3969754</v>
      </c>
      <c r="AM105" s="11">
        <v>1</v>
      </c>
      <c r="AN105" s="11">
        <f t="shared" si="17"/>
        <v>1185</v>
      </c>
      <c r="AO105" s="37">
        <f t="shared" si="18"/>
        <v>-4704158490</v>
      </c>
      <c r="AP105" s="11"/>
    </row>
    <row r="106" spans="1:44">
      <c r="A106" s="354"/>
      <c r="B106" s="2" t="s">
        <v>6830</v>
      </c>
      <c r="C106" s="373">
        <v>386891</v>
      </c>
      <c r="D106" s="373">
        <v>32494148</v>
      </c>
      <c r="E106" s="317">
        <v>8599864</v>
      </c>
      <c r="F106" s="317">
        <v>28864919</v>
      </c>
      <c r="G106" s="2" t="s">
        <v>5426</v>
      </c>
      <c r="H106" s="3">
        <v>18403291.448284</v>
      </c>
      <c r="M106" s="357" t="s">
        <v>4786</v>
      </c>
      <c r="N106" s="1">
        <v>6800000</v>
      </c>
      <c r="O106" s="357" t="s">
        <v>4833</v>
      </c>
      <c r="P106" s="357">
        <v>27344</v>
      </c>
      <c r="Q106" s="1">
        <v>365.69799999999998</v>
      </c>
      <c r="R106" s="1">
        <f t="shared" si="8"/>
        <v>9999646.1119999997</v>
      </c>
      <c r="S106" s="357" t="s">
        <v>422</v>
      </c>
      <c r="AB106" s="356"/>
      <c r="AC106" s="356"/>
      <c r="AJ106" s="11">
        <v>86</v>
      </c>
      <c r="AK106" s="3" t="s">
        <v>4407</v>
      </c>
      <c r="AL106" s="3">
        <v>-25574455</v>
      </c>
      <c r="AM106" s="11">
        <v>0</v>
      </c>
      <c r="AN106" s="11">
        <f t="shared" si="17"/>
        <v>1184</v>
      </c>
      <c r="AO106" s="37">
        <f t="shared" si="18"/>
        <v>-30280154720</v>
      </c>
      <c r="AP106" s="11"/>
      <c r="AR106" t="s">
        <v>25</v>
      </c>
    </row>
    <row r="107" spans="1:44">
      <c r="A107" s="354"/>
      <c r="B107" s="2" t="s">
        <v>6828</v>
      </c>
      <c r="C107" s="373">
        <v>392690</v>
      </c>
      <c r="D107" s="373">
        <v>32460265</v>
      </c>
      <c r="E107" s="317">
        <v>8518673</v>
      </c>
      <c r="F107" s="317">
        <v>28205148</v>
      </c>
      <c r="G107" s="2" t="s">
        <v>5427</v>
      </c>
      <c r="H107" s="3">
        <v>10561447.246918</v>
      </c>
      <c r="M107" s="357" t="s">
        <v>4793</v>
      </c>
      <c r="N107" s="1">
        <v>850000</v>
      </c>
      <c r="O107" s="357" t="s">
        <v>4840</v>
      </c>
      <c r="P107" s="357">
        <v>-103145</v>
      </c>
      <c r="Q107" s="1">
        <v>393.334</v>
      </c>
      <c r="R107" s="1">
        <f t="shared" si="8"/>
        <v>-40570435.43</v>
      </c>
      <c r="S107" s="279" t="s">
        <v>4845</v>
      </c>
      <c r="AB107" s="356"/>
      <c r="AC107" s="356"/>
      <c r="AJ107" s="11">
        <v>87</v>
      </c>
      <c r="AK107" s="3" t="s">
        <v>4407</v>
      </c>
      <c r="AL107" s="3">
        <v>4000000</v>
      </c>
      <c r="AM107" s="11">
        <v>1</v>
      </c>
      <c r="AN107" s="11">
        <f t="shared" si="17"/>
        <v>1184</v>
      </c>
      <c r="AO107" s="37">
        <f t="shared" si="18"/>
        <v>4736000000</v>
      </c>
      <c r="AP107" s="11"/>
    </row>
    <row r="108" spans="1:44">
      <c r="A108" s="354"/>
      <c r="B108" s="2" t="s">
        <v>6824</v>
      </c>
      <c r="C108" s="373">
        <v>391976</v>
      </c>
      <c r="D108" s="373">
        <v>32532410</v>
      </c>
      <c r="E108" s="317">
        <v>8485222</v>
      </c>
      <c r="F108" s="317">
        <v>27903452</v>
      </c>
      <c r="G108" s="2" t="s">
        <v>5428</v>
      </c>
      <c r="H108" s="3">
        <v>1226811.9176660001</v>
      </c>
      <c r="M108" s="357" t="s">
        <v>4799</v>
      </c>
      <c r="N108" s="1">
        <v>2290500</v>
      </c>
      <c r="O108" s="357" t="s">
        <v>4840</v>
      </c>
      <c r="P108" s="357">
        <v>-369</v>
      </c>
      <c r="Q108" s="1">
        <v>393.334</v>
      </c>
      <c r="R108" s="1">
        <f t="shared" si="8"/>
        <v>-145140.24600000001</v>
      </c>
      <c r="S108" s="279" t="s">
        <v>4916</v>
      </c>
      <c r="AB108" s="356"/>
      <c r="AC108" s="356"/>
      <c r="AJ108" s="11">
        <v>88</v>
      </c>
      <c r="AK108" s="3" t="s">
        <v>914</v>
      </c>
      <c r="AL108" s="3">
        <v>-5000000</v>
      </c>
      <c r="AM108" s="11">
        <v>2</v>
      </c>
      <c r="AN108" s="11">
        <f t="shared" si="17"/>
        <v>1183</v>
      </c>
      <c r="AO108" s="37">
        <f t="shared" si="18"/>
        <v>-5915000000</v>
      </c>
      <c r="AP108" s="11"/>
    </row>
    <row r="109" spans="1:44">
      <c r="A109" s="354"/>
      <c r="B109" s="2" t="s">
        <v>6822</v>
      </c>
      <c r="C109" s="373">
        <v>390291</v>
      </c>
      <c r="D109" s="373">
        <v>32656971</v>
      </c>
      <c r="E109" s="317">
        <v>8377966</v>
      </c>
      <c r="F109" s="317">
        <v>28545312</v>
      </c>
      <c r="G109" s="2" t="s">
        <v>5429</v>
      </c>
      <c r="H109" s="3">
        <v>39373959.190266006</v>
      </c>
      <c r="M109" s="357" t="s">
        <v>4805</v>
      </c>
      <c r="N109" s="1">
        <v>400000</v>
      </c>
      <c r="O109" s="357" t="s">
        <v>4840</v>
      </c>
      <c r="P109" s="357">
        <v>-889</v>
      </c>
      <c r="Q109" s="1">
        <v>393.334</v>
      </c>
      <c r="R109" s="1">
        <f t="shared" si="8"/>
        <v>-349673.92599999998</v>
      </c>
      <c r="S109" s="279" t="s">
        <v>4917</v>
      </c>
      <c r="AB109" s="356"/>
      <c r="AC109" s="356"/>
      <c r="AJ109" s="11">
        <v>89</v>
      </c>
      <c r="AK109" s="3" t="s">
        <v>4410</v>
      </c>
      <c r="AL109" s="3">
        <v>10000000</v>
      </c>
      <c r="AM109" s="11">
        <v>4</v>
      </c>
      <c r="AN109" s="11">
        <f t="shared" si="17"/>
        <v>1181</v>
      </c>
      <c r="AO109" s="37">
        <f t="shared" si="18"/>
        <v>11810000000</v>
      </c>
      <c r="AP109" s="11"/>
    </row>
    <row r="110" spans="1:44">
      <c r="A110" s="354"/>
      <c r="B110" s="2" t="s">
        <v>6819</v>
      </c>
      <c r="C110" s="317">
        <v>387463</v>
      </c>
      <c r="D110" s="317">
        <v>32972110</v>
      </c>
      <c r="E110" s="317">
        <v>8449980</v>
      </c>
      <c r="F110" s="317">
        <v>28172387</v>
      </c>
      <c r="G110" s="2" t="s">
        <v>5431</v>
      </c>
      <c r="H110" s="3">
        <v>27703487.063980002</v>
      </c>
      <c r="M110" s="357" t="s">
        <v>4812</v>
      </c>
      <c r="N110" s="1">
        <v>150000</v>
      </c>
      <c r="O110" s="357" t="s">
        <v>4849</v>
      </c>
      <c r="P110" s="357">
        <v>2546</v>
      </c>
      <c r="Q110" s="1">
        <v>393</v>
      </c>
      <c r="R110" s="1">
        <f t="shared" si="8"/>
        <v>1000578</v>
      </c>
      <c r="S110" s="279" t="s">
        <v>422</v>
      </c>
      <c r="AB110" s="356"/>
      <c r="AC110" s="356"/>
      <c r="AE110" t="s">
        <v>25</v>
      </c>
      <c r="AJ110" s="11">
        <v>90</v>
      </c>
      <c r="AK110" s="3" t="s">
        <v>4412</v>
      </c>
      <c r="AL110" s="3">
        <v>-5241937</v>
      </c>
      <c r="AM110" s="11">
        <v>0</v>
      </c>
      <c r="AN110" s="11">
        <f t="shared" si="17"/>
        <v>1177</v>
      </c>
      <c r="AO110" s="37">
        <f t="shared" si="18"/>
        <v>-6169759849</v>
      </c>
      <c r="AP110" s="11"/>
    </row>
    <row r="111" spans="1:44">
      <c r="A111" s="354"/>
      <c r="B111" s="2" t="s">
        <v>6818</v>
      </c>
      <c r="C111" s="317">
        <v>385714</v>
      </c>
      <c r="D111" s="317">
        <v>33047195</v>
      </c>
      <c r="E111" s="317">
        <v>8471480</v>
      </c>
      <c r="F111" s="317">
        <v>29202137</v>
      </c>
      <c r="G111" s="2" t="s">
        <v>5432</v>
      </c>
      <c r="H111" s="3">
        <v>8738896.6890719999</v>
      </c>
      <c r="M111" s="357" t="s">
        <v>4840</v>
      </c>
      <c r="N111" s="1">
        <v>-144950</v>
      </c>
      <c r="O111" s="357" t="s">
        <v>4850</v>
      </c>
      <c r="P111" s="357">
        <v>1034</v>
      </c>
      <c r="Q111" s="1">
        <v>386.608</v>
      </c>
      <c r="R111" s="1">
        <f t="shared" si="8"/>
        <v>399752.67200000002</v>
      </c>
      <c r="S111" s="279" t="s">
        <v>422</v>
      </c>
      <c r="AB111" s="356"/>
      <c r="AC111" s="356"/>
      <c r="AJ111" s="11">
        <v>91</v>
      </c>
      <c r="AK111" s="3" t="s">
        <v>4412</v>
      </c>
      <c r="AL111" s="3">
        <v>21900000</v>
      </c>
      <c r="AM111" s="11">
        <v>2</v>
      </c>
      <c r="AN111" s="11">
        <f t="shared" si="17"/>
        <v>1177</v>
      </c>
      <c r="AO111" s="37">
        <f t="shared" si="18"/>
        <v>25776300000</v>
      </c>
      <c r="AP111" s="11"/>
      <c r="AR111" t="s">
        <v>25</v>
      </c>
    </row>
    <row r="112" spans="1:44">
      <c r="A112" s="354"/>
      <c r="B112" s="2" t="s">
        <v>6817</v>
      </c>
      <c r="C112" s="317">
        <v>380489</v>
      </c>
      <c r="D112" s="317">
        <v>33139342</v>
      </c>
      <c r="E112" s="317">
        <v>8329618</v>
      </c>
      <c r="F112" s="317">
        <v>29308460</v>
      </c>
      <c r="G112" s="2" t="s">
        <v>4100</v>
      </c>
      <c r="H112" s="3">
        <v>348201.66738</v>
      </c>
      <c r="M112" s="357" t="s">
        <v>4865</v>
      </c>
      <c r="N112" s="1">
        <v>320000</v>
      </c>
      <c r="O112" s="357" t="s">
        <v>4857</v>
      </c>
      <c r="P112" s="357">
        <v>300</v>
      </c>
      <c r="Q112" s="1">
        <v>400</v>
      </c>
      <c r="R112" s="1">
        <f t="shared" si="8"/>
        <v>120000</v>
      </c>
      <c r="S112" s="279" t="s">
        <v>422</v>
      </c>
      <c r="AB112" s="356"/>
      <c r="AC112" s="356"/>
      <c r="AJ112" s="11">
        <v>92</v>
      </c>
      <c r="AK112" s="3" t="s">
        <v>4419</v>
      </c>
      <c r="AL112" s="3">
        <v>-15000000</v>
      </c>
      <c r="AM112" s="11">
        <v>0</v>
      </c>
      <c r="AN112" s="11">
        <f t="shared" si="17"/>
        <v>1175</v>
      </c>
      <c r="AO112" s="37">
        <f t="shared" si="18"/>
        <v>-17625000000</v>
      </c>
      <c r="AP112" s="11"/>
      <c r="AQ112" t="s">
        <v>25</v>
      </c>
    </row>
    <row r="113" spans="1:45">
      <c r="A113" s="354"/>
      <c r="B113" s="2" t="s">
        <v>6815</v>
      </c>
      <c r="C113" s="317">
        <v>385305</v>
      </c>
      <c r="D113" s="317">
        <v>33215966</v>
      </c>
      <c r="E113" s="317">
        <v>8274051</v>
      </c>
      <c r="F113" s="317">
        <v>28696078</v>
      </c>
      <c r="G113" s="2" t="s">
        <v>5433</v>
      </c>
      <c r="H113" s="3">
        <v>4158090.8935679998</v>
      </c>
      <c r="M113" s="357" t="s">
        <v>4869</v>
      </c>
      <c r="N113" s="1">
        <v>500000</v>
      </c>
      <c r="O113" s="357" t="s">
        <v>4865</v>
      </c>
      <c r="P113" s="357">
        <v>782</v>
      </c>
      <c r="Q113" s="1">
        <v>409</v>
      </c>
      <c r="R113" s="1">
        <f t="shared" si="8"/>
        <v>319838</v>
      </c>
      <c r="S113" s="279" t="s">
        <v>690</v>
      </c>
      <c r="AB113" s="356"/>
      <c r="AC113" s="356"/>
      <c r="AJ113" s="11">
        <v>93</v>
      </c>
      <c r="AK113" s="3" t="s">
        <v>4419</v>
      </c>
      <c r="AL113" s="3">
        <v>3000000</v>
      </c>
      <c r="AM113" s="11">
        <v>1</v>
      </c>
      <c r="AN113" s="11">
        <f t="shared" si="17"/>
        <v>1175</v>
      </c>
      <c r="AO113" s="37">
        <f t="shared" si="18"/>
        <v>3525000000</v>
      </c>
      <c r="AP113" s="11"/>
    </row>
    <row r="114" spans="1:45">
      <c r="A114" s="354"/>
      <c r="B114" s="2" t="s">
        <v>6808</v>
      </c>
      <c r="C114" s="317">
        <v>380307</v>
      </c>
      <c r="D114" s="317">
        <v>33594896.6407924</v>
      </c>
      <c r="E114" s="317">
        <v>8162767.862573673</v>
      </c>
      <c r="F114" s="317">
        <v>29222586</v>
      </c>
      <c r="G114" s="2" t="s">
        <v>5437</v>
      </c>
      <c r="H114" s="3">
        <v>110770524.97879399</v>
      </c>
      <c r="M114" s="357" t="s">
        <v>4912</v>
      </c>
      <c r="N114" s="1">
        <v>400000</v>
      </c>
      <c r="O114" s="357" t="s">
        <v>4869</v>
      </c>
      <c r="P114" s="357">
        <v>1220</v>
      </c>
      <c r="Q114" s="1">
        <v>409.9</v>
      </c>
      <c r="R114" s="1">
        <f t="shared" si="8"/>
        <v>500078</v>
      </c>
      <c r="S114" s="279" t="s">
        <v>690</v>
      </c>
      <c r="AB114" s="356"/>
      <c r="AC114" s="356"/>
      <c r="AJ114" s="11">
        <v>94</v>
      </c>
      <c r="AK114" s="3" t="s">
        <v>4422</v>
      </c>
      <c r="AL114" s="3">
        <v>-2103736</v>
      </c>
      <c r="AM114" s="11">
        <v>0</v>
      </c>
      <c r="AN114" s="11">
        <f t="shared" si="17"/>
        <v>1174</v>
      </c>
      <c r="AO114" s="37">
        <f t="shared" si="18"/>
        <v>-2469786064</v>
      </c>
      <c r="AP114" s="11"/>
    </row>
    <row r="115" spans="1:45">
      <c r="A115" s="354"/>
      <c r="B115" s="2" t="s">
        <v>6807</v>
      </c>
      <c r="C115" s="11"/>
      <c r="D115" s="317">
        <v>33635996</v>
      </c>
      <c r="E115" s="317">
        <v>8186907</v>
      </c>
      <c r="F115" s="317">
        <v>29624590.674153294</v>
      </c>
      <c r="G115" s="2" t="s">
        <v>5448</v>
      </c>
      <c r="H115" s="3">
        <v>6684147.0064600008</v>
      </c>
      <c r="M115" s="357" t="s">
        <v>4915</v>
      </c>
      <c r="N115" s="1">
        <v>50000</v>
      </c>
      <c r="O115" s="357" t="s">
        <v>4870</v>
      </c>
      <c r="P115" s="357">
        <v>1285</v>
      </c>
      <c r="Q115" s="1">
        <v>388.84</v>
      </c>
      <c r="R115" s="1">
        <f t="shared" si="8"/>
        <v>499659.39999999997</v>
      </c>
      <c r="S115" s="279" t="s">
        <v>422</v>
      </c>
      <c r="AB115" s="356"/>
      <c r="AC115" s="356"/>
      <c r="AJ115" s="11">
        <v>95</v>
      </c>
      <c r="AK115" s="3" t="s">
        <v>4422</v>
      </c>
      <c r="AL115" s="3">
        <v>220000</v>
      </c>
      <c r="AM115" s="11">
        <v>3</v>
      </c>
      <c r="AN115" s="11">
        <f t="shared" si="17"/>
        <v>1174</v>
      </c>
      <c r="AO115" s="37">
        <f t="shared" si="18"/>
        <v>258280000</v>
      </c>
      <c r="AP115" s="11"/>
    </row>
    <row r="116" spans="1:45">
      <c r="A116" s="354"/>
      <c r="B116" s="322" t="s">
        <v>6806</v>
      </c>
      <c r="C116" s="322"/>
      <c r="D116" s="317">
        <v>33865204</v>
      </c>
      <c r="E116" s="317">
        <v>8182613</v>
      </c>
      <c r="F116" s="317">
        <v>29604715</v>
      </c>
      <c r="G116" s="2" t="s">
        <v>5451</v>
      </c>
      <c r="H116" s="3">
        <v>1826535.2307560001</v>
      </c>
      <c r="M116" s="357" t="s">
        <v>4924</v>
      </c>
      <c r="N116" s="1">
        <v>300000</v>
      </c>
      <c r="O116" s="357" t="s">
        <v>4862</v>
      </c>
      <c r="P116" s="357">
        <v>1924</v>
      </c>
      <c r="Q116" s="1">
        <v>386.69600000000003</v>
      </c>
      <c r="R116" s="1">
        <f t="shared" si="8"/>
        <v>744003.10400000005</v>
      </c>
      <c r="S116" s="279" t="s">
        <v>422</v>
      </c>
      <c r="AB116" s="356"/>
      <c r="AC116" s="356"/>
      <c r="AJ116" s="11">
        <v>96</v>
      </c>
      <c r="AK116" s="3" t="s">
        <v>4431</v>
      </c>
      <c r="AL116" s="3">
        <v>4000000</v>
      </c>
      <c r="AM116" s="11">
        <v>1</v>
      </c>
      <c r="AN116" s="11">
        <f t="shared" si="17"/>
        <v>1171</v>
      </c>
      <c r="AO116" s="37">
        <f t="shared" si="18"/>
        <v>4684000000</v>
      </c>
      <c r="AP116" s="11"/>
    </row>
    <row r="117" spans="1:45">
      <c r="A117" s="354"/>
      <c r="B117" s="2" t="s">
        <v>6805</v>
      </c>
      <c r="C117" s="2"/>
      <c r="D117" s="317">
        <v>33863109</v>
      </c>
      <c r="E117" s="317">
        <v>8419617</v>
      </c>
      <c r="F117" s="317">
        <v>29488286</v>
      </c>
      <c r="G117" s="2" t="s">
        <v>5453</v>
      </c>
      <c r="H117" s="3">
        <v>3577366.94</v>
      </c>
      <c r="M117" s="357" t="s">
        <v>4945</v>
      </c>
      <c r="N117" s="1">
        <v>250000</v>
      </c>
      <c r="O117" s="357" t="s">
        <v>4886</v>
      </c>
      <c r="P117" s="357">
        <v>165</v>
      </c>
      <c r="Q117" s="1">
        <v>393.5</v>
      </c>
      <c r="R117" s="1">
        <f t="shared" si="8"/>
        <v>64927.5</v>
      </c>
      <c r="S117" s="279" t="s">
        <v>422</v>
      </c>
      <c r="AB117" s="356"/>
      <c r="AC117" s="356"/>
      <c r="AJ117" s="11">
        <v>97</v>
      </c>
      <c r="AK117" s="3" t="s">
        <v>4435</v>
      </c>
      <c r="AL117" s="3">
        <v>-9000000</v>
      </c>
      <c r="AM117" s="11">
        <v>0</v>
      </c>
      <c r="AN117" s="11">
        <f t="shared" si="17"/>
        <v>1170</v>
      </c>
      <c r="AO117" s="37">
        <f t="shared" si="18"/>
        <v>-10530000000</v>
      </c>
      <c r="AP117" s="11"/>
      <c r="AR117" t="s">
        <v>25</v>
      </c>
    </row>
    <row r="118" spans="1:45">
      <c r="A118" s="354"/>
      <c r="B118" s="2" t="s">
        <v>6803</v>
      </c>
      <c r="C118" s="2"/>
      <c r="D118" s="317">
        <v>33695882</v>
      </c>
      <c r="E118" s="317">
        <v>8357340</v>
      </c>
      <c r="F118" s="317">
        <v>28916812</v>
      </c>
      <c r="G118" s="2" t="s">
        <v>5454</v>
      </c>
      <c r="H118" s="3">
        <v>21239029.173567999</v>
      </c>
      <c r="M118" s="357" t="s">
        <v>4978</v>
      </c>
      <c r="N118" s="1">
        <v>200000</v>
      </c>
      <c r="O118" s="357" t="s">
        <v>4891</v>
      </c>
      <c r="P118" s="357">
        <v>-34859</v>
      </c>
      <c r="Q118" s="1">
        <v>403.1585</v>
      </c>
      <c r="R118" s="1">
        <f t="shared" si="8"/>
        <v>-14053702.1515</v>
      </c>
      <c r="S118" s="279" t="s">
        <v>4894</v>
      </c>
      <c r="AB118" s="356"/>
      <c r="AC118" s="356"/>
      <c r="AJ118" s="11">
        <v>98</v>
      </c>
      <c r="AK118" s="3" t="s">
        <v>4435</v>
      </c>
      <c r="AL118" s="3">
        <v>13900000</v>
      </c>
      <c r="AM118" s="11">
        <v>2</v>
      </c>
      <c r="AN118" s="11">
        <f t="shared" si="17"/>
        <v>1170</v>
      </c>
      <c r="AO118" s="37">
        <f t="shared" si="18"/>
        <v>16263000000</v>
      </c>
      <c r="AP118" s="11"/>
    </row>
    <row r="119" spans="1:45">
      <c r="A119" s="354"/>
      <c r="B119" s="2" t="s">
        <v>6801</v>
      </c>
      <c r="C119" s="2"/>
      <c r="D119" s="317">
        <v>33543525</v>
      </c>
      <c r="E119" s="317">
        <v>8338071</v>
      </c>
      <c r="F119" s="317">
        <v>29176513</v>
      </c>
      <c r="G119" s="2" t="s">
        <v>5456</v>
      </c>
      <c r="H119" s="3">
        <v>242957252.40163299</v>
      </c>
      <c r="M119" s="357" t="s">
        <v>5010</v>
      </c>
      <c r="N119" s="1">
        <v>122000</v>
      </c>
      <c r="O119" s="357" t="s">
        <v>4863</v>
      </c>
      <c r="P119" s="357">
        <v>8476</v>
      </c>
      <c r="Q119" s="1">
        <v>419.49900000000002</v>
      </c>
      <c r="R119" s="1">
        <f t="shared" si="8"/>
        <v>3555673.5240000002</v>
      </c>
      <c r="S119" s="279" t="s">
        <v>4900</v>
      </c>
      <c r="AB119" s="356"/>
      <c r="AC119" s="356"/>
      <c r="AJ119" s="11">
        <v>99</v>
      </c>
      <c r="AK119" s="3" t="s">
        <v>4439</v>
      </c>
      <c r="AL119" s="3">
        <v>-8127577</v>
      </c>
      <c r="AM119" s="11">
        <v>1</v>
      </c>
      <c r="AN119" s="11">
        <f t="shared" si="17"/>
        <v>1168</v>
      </c>
      <c r="AO119" s="37">
        <f t="shared" si="18"/>
        <v>-9493009936</v>
      </c>
      <c r="AP119" s="11"/>
      <c r="AQ119" t="s">
        <v>25</v>
      </c>
      <c r="AS119" t="s">
        <v>25</v>
      </c>
    </row>
    <row r="120" spans="1:45">
      <c r="A120" s="354"/>
      <c r="B120" s="2" t="s">
        <v>6800</v>
      </c>
      <c r="C120" s="2"/>
      <c r="D120" s="317">
        <v>33027671</v>
      </c>
      <c r="E120" s="317">
        <v>8145086</v>
      </c>
      <c r="F120" s="317">
        <v>29308571</v>
      </c>
      <c r="G120" s="2" t="s">
        <v>5459</v>
      </c>
      <c r="H120" s="3">
        <v>7357181.2750800001</v>
      </c>
      <c r="M120" s="357" t="s">
        <v>5018</v>
      </c>
      <c r="N120" s="1">
        <v>200000</v>
      </c>
      <c r="O120" s="357" t="s">
        <v>4912</v>
      </c>
      <c r="P120" s="357">
        <v>903</v>
      </c>
      <c r="Q120" s="1">
        <v>442.77379999999999</v>
      </c>
      <c r="R120" s="1">
        <f t="shared" si="8"/>
        <v>399824.7414</v>
      </c>
      <c r="S120" s="279" t="s">
        <v>690</v>
      </c>
      <c r="AB120" s="356"/>
      <c r="AC120" s="356"/>
      <c r="AJ120" s="11">
        <v>100</v>
      </c>
      <c r="AK120" s="3" t="s">
        <v>3606</v>
      </c>
      <c r="AL120" s="3">
        <v>15792549</v>
      </c>
      <c r="AM120" s="11">
        <v>3</v>
      </c>
      <c r="AN120" s="11">
        <f t="shared" si="17"/>
        <v>1167</v>
      </c>
      <c r="AO120" s="37">
        <f t="shared" si="18"/>
        <v>18429904683</v>
      </c>
      <c r="AP120" s="11"/>
      <c r="AQ120" t="s">
        <v>25</v>
      </c>
      <c r="AR120" t="s">
        <v>25</v>
      </c>
    </row>
    <row r="121" spans="1:45">
      <c r="A121" s="354"/>
      <c r="B121" s="2" t="s">
        <v>6798</v>
      </c>
      <c r="C121" s="2"/>
      <c r="D121" s="317">
        <v>33329845</v>
      </c>
      <c r="E121" s="317">
        <v>8188700</v>
      </c>
      <c r="F121" s="323">
        <v>30068942</v>
      </c>
      <c r="G121" s="2" t="s">
        <v>5461</v>
      </c>
      <c r="H121" s="3">
        <v>14951411.942400001</v>
      </c>
      <c r="I121" s="475"/>
      <c r="M121" s="357" t="s">
        <v>5028</v>
      </c>
      <c r="N121" s="1">
        <v>60000</v>
      </c>
      <c r="O121" s="357" t="s">
        <v>4915</v>
      </c>
      <c r="P121" s="357">
        <v>113</v>
      </c>
      <c r="Q121" s="1">
        <v>442.48200000000003</v>
      </c>
      <c r="R121" s="1">
        <f t="shared" ref="R121:R202" si="19">P121*Q121</f>
        <v>50000.466</v>
      </c>
      <c r="S121" s="279" t="s">
        <v>690</v>
      </c>
      <c r="AB121" s="356"/>
      <c r="AC121" s="356"/>
      <c r="AJ121" s="11">
        <v>101</v>
      </c>
      <c r="AK121" s="3" t="s">
        <v>4442</v>
      </c>
      <c r="AL121" s="3">
        <v>8800000</v>
      </c>
      <c r="AM121" s="11">
        <v>0</v>
      </c>
      <c r="AN121" s="11">
        <f t="shared" ref="AN121:AN126" si="20">AN122+AM121</f>
        <v>1164</v>
      </c>
      <c r="AO121" s="37">
        <f t="shared" ref="AO121:AO144" si="21">AL121*AN121</f>
        <v>10243200000</v>
      </c>
      <c r="AP121" s="11"/>
      <c r="AR121" t="s">
        <v>25</v>
      </c>
    </row>
    <row r="122" spans="1:45" ht="17.25" customHeight="1">
      <c r="A122" s="354"/>
      <c r="B122" s="2" t="s">
        <v>6790</v>
      </c>
      <c r="C122" s="2"/>
      <c r="D122" s="317">
        <v>32675546</v>
      </c>
      <c r="E122" s="317">
        <v>8310289</v>
      </c>
      <c r="F122" s="317">
        <v>29804772</v>
      </c>
      <c r="G122" s="2" t="s">
        <v>5463</v>
      </c>
      <c r="H122" s="3">
        <v>47928209.377011999</v>
      </c>
      <c r="I122" s="475"/>
      <c r="M122" s="357" t="s">
        <v>5087</v>
      </c>
      <c r="N122" s="1">
        <v>-200000</v>
      </c>
      <c r="O122" s="357" t="s">
        <v>4924</v>
      </c>
      <c r="P122" s="357">
        <v>671</v>
      </c>
      <c r="Q122" s="1">
        <v>447</v>
      </c>
      <c r="R122" s="1">
        <f t="shared" si="19"/>
        <v>299937</v>
      </c>
      <c r="S122" s="279" t="s">
        <v>690</v>
      </c>
      <c r="AB122" s="356"/>
      <c r="AC122" s="356"/>
      <c r="AJ122" s="53">
        <v>102</v>
      </c>
      <c r="AK122" s="54" t="s">
        <v>4442</v>
      </c>
      <c r="AL122" s="54">
        <v>13071612</v>
      </c>
      <c r="AM122" s="53">
        <v>1</v>
      </c>
      <c r="AN122" s="53">
        <f t="shared" si="20"/>
        <v>1164</v>
      </c>
      <c r="AO122" s="54">
        <f t="shared" si="21"/>
        <v>15215356368</v>
      </c>
      <c r="AP122" s="141" t="s">
        <v>4443</v>
      </c>
    </row>
    <row r="123" spans="1:45">
      <c r="A123" s="354"/>
      <c r="B123" s="28" t="s">
        <v>6789</v>
      </c>
      <c r="C123" s="28"/>
      <c r="D123" s="317">
        <v>32872808</v>
      </c>
      <c r="E123" s="317">
        <v>8179528</v>
      </c>
      <c r="F123" s="317">
        <v>29605406</v>
      </c>
      <c r="G123" s="2" t="s">
        <v>5464</v>
      </c>
      <c r="H123" s="3">
        <v>2281595.69937</v>
      </c>
      <c r="I123" s="475"/>
      <c r="M123" s="357" t="s">
        <v>5149</v>
      </c>
      <c r="N123" s="1">
        <v>-9000000</v>
      </c>
      <c r="O123" s="357" t="s">
        <v>4926</v>
      </c>
      <c r="P123" s="357">
        <v>7</v>
      </c>
      <c r="Q123" s="1">
        <v>465.31200000000001</v>
      </c>
      <c r="R123" s="1">
        <f t="shared" si="19"/>
        <v>3257.1840000000002</v>
      </c>
      <c r="S123" s="279" t="s">
        <v>422</v>
      </c>
      <c r="AB123" s="356"/>
      <c r="AC123" s="356"/>
      <c r="AJ123" s="63">
        <v>103</v>
      </c>
      <c r="AK123" s="64" t="s">
        <v>4446</v>
      </c>
      <c r="AL123" s="64">
        <v>16727037</v>
      </c>
      <c r="AM123" s="63">
        <v>0</v>
      </c>
      <c r="AN123" s="63">
        <f t="shared" si="20"/>
        <v>1163</v>
      </c>
      <c r="AO123" s="64">
        <f t="shared" si="21"/>
        <v>19453544031</v>
      </c>
      <c r="AP123" s="63" t="s">
        <v>4453</v>
      </c>
    </row>
    <row r="124" spans="1:45">
      <c r="A124" s="354"/>
      <c r="B124" s="28" t="s">
        <v>6787</v>
      </c>
      <c r="C124" s="28"/>
      <c r="D124" s="2"/>
      <c r="E124" s="317">
        <v>8292963</v>
      </c>
      <c r="F124" s="317">
        <v>30000426</v>
      </c>
      <c r="G124" s="2" t="s">
        <v>5465</v>
      </c>
      <c r="H124" s="3">
        <v>2964916.035069</v>
      </c>
      <c r="I124" s="475"/>
      <c r="M124" s="357" t="s">
        <v>5206</v>
      </c>
      <c r="N124" s="1">
        <v>-26000000</v>
      </c>
      <c r="O124" s="357" t="s">
        <v>4930</v>
      </c>
      <c r="P124" s="357">
        <v>12950</v>
      </c>
      <c r="Q124" s="1">
        <v>463.31599999999997</v>
      </c>
      <c r="R124" s="1">
        <f t="shared" si="19"/>
        <v>5999942.1999999993</v>
      </c>
      <c r="S124" s="279" t="s">
        <v>422</v>
      </c>
      <c r="AB124" s="356"/>
      <c r="AC124" s="356"/>
      <c r="AJ124" s="11">
        <v>104</v>
      </c>
      <c r="AK124" s="3" t="s">
        <v>4446</v>
      </c>
      <c r="AL124" s="3">
        <v>12000000</v>
      </c>
      <c r="AM124" s="11">
        <v>1</v>
      </c>
      <c r="AN124" s="11">
        <f t="shared" si="20"/>
        <v>1163</v>
      </c>
      <c r="AO124" s="37">
        <f t="shared" si="21"/>
        <v>13956000000</v>
      </c>
      <c r="AP124" s="11" t="s">
        <v>4454</v>
      </c>
    </row>
    <row r="125" spans="1:45">
      <c r="A125" s="354"/>
      <c r="B125" s="28" t="s">
        <v>6785</v>
      </c>
      <c r="C125" s="28"/>
      <c r="D125" s="11"/>
      <c r="E125" s="317">
        <v>8298953</v>
      </c>
      <c r="F125" s="317">
        <v>29724216</v>
      </c>
      <c r="G125" s="2" t="s">
        <v>5466</v>
      </c>
      <c r="H125" s="3">
        <v>6460549.4269619994</v>
      </c>
      <c r="I125" s="475"/>
      <c r="M125" s="357" t="s">
        <v>5210</v>
      </c>
      <c r="N125" s="1">
        <v>-95900000</v>
      </c>
      <c r="O125" s="357" t="s">
        <v>4932</v>
      </c>
      <c r="P125" s="357">
        <v>37</v>
      </c>
      <c r="Q125" s="1">
        <v>463.315</v>
      </c>
      <c r="R125" s="1">
        <f t="shared" si="19"/>
        <v>17142.654999999999</v>
      </c>
      <c r="S125" s="279" t="s">
        <v>422</v>
      </c>
      <c r="AB125" s="356"/>
      <c r="AC125" s="356"/>
      <c r="AJ125" s="63">
        <v>105</v>
      </c>
      <c r="AK125" s="64" t="s">
        <v>4388</v>
      </c>
      <c r="AL125" s="64">
        <v>88697667</v>
      </c>
      <c r="AM125" s="63">
        <v>1</v>
      </c>
      <c r="AN125" s="63">
        <f t="shared" si="20"/>
        <v>1162</v>
      </c>
      <c r="AO125" s="64">
        <f t="shared" si="21"/>
        <v>103066689054</v>
      </c>
      <c r="AP125" s="63" t="s">
        <v>4455</v>
      </c>
      <c r="AR125" t="s">
        <v>25</v>
      </c>
    </row>
    <row r="126" spans="1:45">
      <c r="A126" s="354"/>
      <c r="B126" s="28" t="s">
        <v>6783</v>
      </c>
      <c r="C126" s="28"/>
      <c r="D126" s="11"/>
      <c r="E126" s="317">
        <v>8235577</v>
      </c>
      <c r="F126" s="317">
        <v>29631163</v>
      </c>
      <c r="G126" s="2" t="s">
        <v>5467</v>
      </c>
      <c r="H126" s="3">
        <v>5212319.8968359996</v>
      </c>
      <c r="I126" s="475"/>
      <c r="M126" s="357" t="s">
        <v>5211</v>
      </c>
      <c r="N126" s="1">
        <v>-28950000</v>
      </c>
      <c r="O126" s="357" t="s">
        <v>4933</v>
      </c>
      <c r="P126" s="357">
        <v>19</v>
      </c>
      <c r="Q126" s="1">
        <v>434.3</v>
      </c>
      <c r="R126" s="1">
        <f t="shared" si="19"/>
        <v>8251.7000000000007</v>
      </c>
      <c r="S126" s="279" t="s">
        <v>422</v>
      </c>
      <c r="AB126" s="356"/>
      <c r="AC126" s="356"/>
      <c r="AD126" t="s">
        <v>25</v>
      </c>
      <c r="AJ126" s="11">
        <v>106</v>
      </c>
      <c r="AK126" s="3" t="s">
        <v>4391</v>
      </c>
      <c r="AL126" s="3">
        <v>101000</v>
      </c>
      <c r="AM126" s="11">
        <v>0</v>
      </c>
      <c r="AN126" s="11">
        <f t="shared" si="20"/>
        <v>1161</v>
      </c>
      <c r="AO126" s="37">
        <f t="shared" si="21"/>
        <v>117261000</v>
      </c>
      <c r="AP126" s="11"/>
      <c r="AS126" t="s">
        <v>25</v>
      </c>
    </row>
    <row r="127" spans="1:45">
      <c r="A127" s="354"/>
      <c r="B127" s="28" t="s">
        <v>6782</v>
      </c>
      <c r="C127" s="28"/>
      <c r="D127" s="11"/>
      <c r="E127" s="317">
        <v>8314333</v>
      </c>
      <c r="F127" s="317">
        <v>29962922</v>
      </c>
      <c r="G127" s="2" t="s">
        <v>5469</v>
      </c>
      <c r="H127" s="3">
        <v>4524496.4792809999</v>
      </c>
      <c r="M127" s="357" t="s">
        <v>5333</v>
      </c>
      <c r="N127" s="1">
        <v>-93000000</v>
      </c>
      <c r="O127" s="357" t="s">
        <v>4935</v>
      </c>
      <c r="P127" s="357">
        <v>16</v>
      </c>
      <c r="Q127" s="1">
        <v>439</v>
      </c>
      <c r="R127" s="1">
        <f t="shared" si="19"/>
        <v>7024</v>
      </c>
      <c r="S127" s="279" t="s">
        <v>422</v>
      </c>
      <c r="AA127" t="s">
        <v>25</v>
      </c>
      <c r="AB127" s="356"/>
      <c r="AC127" s="356"/>
      <c r="AE127" t="s">
        <v>25</v>
      </c>
      <c r="AJ127" s="97">
        <v>107</v>
      </c>
      <c r="AK127" s="131" t="s">
        <v>4452</v>
      </c>
      <c r="AL127" s="131">
        <v>-48200</v>
      </c>
      <c r="AM127" s="97">
        <v>0</v>
      </c>
      <c r="AN127" s="97">
        <f t="shared" ref="AN127:AN177" si="22">AN128+AM127</f>
        <v>1161</v>
      </c>
      <c r="AO127" s="131">
        <f t="shared" si="21"/>
        <v>-55960200</v>
      </c>
      <c r="AP127" s="97" t="s">
        <v>4458</v>
      </c>
    </row>
    <row r="128" spans="1:45" ht="30">
      <c r="A128" s="354"/>
      <c r="B128" s="28" t="s">
        <v>6780</v>
      </c>
      <c r="C128" s="28"/>
      <c r="D128" s="11"/>
      <c r="E128" s="317">
        <v>8403580</v>
      </c>
      <c r="F128" s="317">
        <v>29627913</v>
      </c>
      <c r="G128" s="2" t="s">
        <v>5470</v>
      </c>
      <c r="H128" s="3">
        <v>22866040.240959998</v>
      </c>
      <c r="M128" s="357" t="s">
        <v>5342</v>
      </c>
      <c r="N128" s="1">
        <v>50000000</v>
      </c>
      <c r="O128" s="357" t="s">
        <v>4935</v>
      </c>
      <c r="P128" s="357">
        <v>9191</v>
      </c>
      <c r="Q128" s="1">
        <v>440.24630000000002</v>
      </c>
      <c r="R128" s="1">
        <f t="shared" si="19"/>
        <v>4046303.7433000002</v>
      </c>
      <c r="S128" s="279" t="s">
        <v>4936</v>
      </c>
      <c r="AA128" t="s">
        <v>25</v>
      </c>
      <c r="AB128" s="356"/>
      <c r="AC128" s="356"/>
      <c r="AD128" t="s">
        <v>25</v>
      </c>
      <c r="AJ128" s="63">
        <v>108</v>
      </c>
      <c r="AK128" s="64" t="s">
        <v>4452</v>
      </c>
      <c r="AL128" s="64">
        <v>39327293</v>
      </c>
      <c r="AM128" s="63">
        <v>4</v>
      </c>
      <c r="AN128" s="97">
        <f t="shared" si="22"/>
        <v>1161</v>
      </c>
      <c r="AO128" s="131">
        <f t="shared" si="21"/>
        <v>45658987173</v>
      </c>
      <c r="AP128" s="63" t="s">
        <v>4459</v>
      </c>
    </row>
    <row r="129" spans="1:45">
      <c r="A129" s="354"/>
      <c r="B129" s="28" t="s">
        <v>6779</v>
      </c>
      <c r="C129" s="28"/>
      <c r="D129" s="11"/>
      <c r="E129" s="317">
        <v>8322637</v>
      </c>
      <c r="F129" s="317">
        <v>29345833</v>
      </c>
      <c r="G129" s="2" t="s">
        <v>5471</v>
      </c>
      <c r="H129" s="3">
        <v>15359304.269892</v>
      </c>
      <c r="M129" s="357" t="s">
        <v>4127</v>
      </c>
      <c r="N129" s="1">
        <v>2749471.1668000002</v>
      </c>
      <c r="O129" s="357" t="s">
        <v>4938</v>
      </c>
      <c r="P129" s="357">
        <v>-8792</v>
      </c>
      <c r="Q129" s="1">
        <v>441.90665999999999</v>
      </c>
      <c r="R129" s="1">
        <f t="shared" si="19"/>
        <v>-3885243.3547199997</v>
      </c>
      <c r="S129" s="279" t="s">
        <v>4939</v>
      </c>
      <c r="AB129" s="356"/>
      <c r="AC129" s="356"/>
      <c r="AJ129" s="63">
        <v>109</v>
      </c>
      <c r="AK129" s="64" t="s">
        <v>4473</v>
      </c>
      <c r="AL129" s="64">
        <v>8749050</v>
      </c>
      <c r="AM129" s="63">
        <v>1</v>
      </c>
      <c r="AN129" s="63">
        <f t="shared" si="22"/>
        <v>1157</v>
      </c>
      <c r="AO129" s="64">
        <f t="shared" si="21"/>
        <v>10122650850</v>
      </c>
      <c r="AP129" s="63" t="s">
        <v>4474</v>
      </c>
    </row>
    <row r="130" spans="1:45">
      <c r="A130" s="354"/>
      <c r="B130" s="28" t="s">
        <v>6778</v>
      </c>
      <c r="C130" s="28"/>
      <c r="D130" s="11"/>
      <c r="E130" s="317">
        <v>8421820</v>
      </c>
      <c r="F130" s="317">
        <v>29697683</v>
      </c>
      <c r="G130" s="2" t="s">
        <v>5473</v>
      </c>
      <c r="H130" s="3">
        <v>2868508.1846330003</v>
      </c>
      <c r="M130" s="357" t="s">
        <v>5419</v>
      </c>
      <c r="N130" s="1">
        <v>-680940.07019999996</v>
      </c>
      <c r="O130" s="357" t="s">
        <v>4945</v>
      </c>
      <c r="P130" s="357">
        <v>530</v>
      </c>
      <c r="Q130" s="1">
        <v>472</v>
      </c>
      <c r="R130" s="1">
        <f t="shared" si="19"/>
        <v>250160</v>
      </c>
      <c r="S130" s="279" t="s">
        <v>690</v>
      </c>
      <c r="AB130" s="356"/>
      <c r="AC130" s="356"/>
      <c r="AJ130" s="11">
        <v>110</v>
      </c>
      <c r="AK130" s="3" t="s">
        <v>4475</v>
      </c>
      <c r="AL130" s="3">
        <v>60000</v>
      </c>
      <c r="AM130" s="11">
        <v>1</v>
      </c>
      <c r="AN130" s="11">
        <f t="shared" si="22"/>
        <v>1156</v>
      </c>
      <c r="AO130" s="37">
        <f t="shared" si="21"/>
        <v>69360000</v>
      </c>
      <c r="AP130" s="11" t="s">
        <v>4476</v>
      </c>
    </row>
    <row r="131" spans="1:45">
      <c r="A131" s="354"/>
      <c r="B131" s="28" t="s">
        <v>6777</v>
      </c>
      <c r="C131" s="28"/>
      <c r="D131" s="11"/>
      <c r="E131" s="317">
        <v>8492243</v>
      </c>
      <c r="F131" s="317">
        <v>29013455</v>
      </c>
      <c r="G131" s="2" t="s">
        <v>5474</v>
      </c>
      <c r="H131" s="3">
        <v>17450393.011856001</v>
      </c>
      <c r="M131" s="357" t="s">
        <v>5419</v>
      </c>
      <c r="N131" s="1">
        <v>-48684800.338199995</v>
      </c>
      <c r="O131" s="357" t="s">
        <v>4945</v>
      </c>
      <c r="P131" s="357">
        <v>12</v>
      </c>
      <c r="Q131" s="1">
        <v>481.86</v>
      </c>
      <c r="R131" s="1">
        <f t="shared" si="19"/>
        <v>5782.32</v>
      </c>
      <c r="S131" s="279" t="s">
        <v>4947</v>
      </c>
      <c r="AB131" s="356"/>
      <c r="AC131" s="356"/>
      <c r="AJ131" s="20">
        <v>111</v>
      </c>
      <c r="AK131" s="37" t="s">
        <v>4484</v>
      </c>
      <c r="AL131" s="37">
        <v>4750000</v>
      </c>
      <c r="AM131" s="20">
        <v>0</v>
      </c>
      <c r="AN131" s="11">
        <f t="shared" si="22"/>
        <v>1155</v>
      </c>
      <c r="AO131" s="37">
        <f t="shared" si="21"/>
        <v>5486250000</v>
      </c>
      <c r="AP131" s="20"/>
      <c r="AS131" t="s">
        <v>25</v>
      </c>
    </row>
    <row r="132" spans="1:45">
      <c r="A132" s="354"/>
      <c r="B132" s="28" t="s">
        <v>6770</v>
      </c>
      <c r="C132" s="28"/>
      <c r="D132" s="11"/>
      <c r="E132" s="317">
        <v>8503989</v>
      </c>
      <c r="F132" s="317">
        <v>28413102</v>
      </c>
      <c r="G132" s="2" t="s">
        <v>5475</v>
      </c>
      <c r="H132" s="3">
        <v>31388943.254850004</v>
      </c>
      <c r="M132" s="357" t="s">
        <v>5434</v>
      </c>
      <c r="N132" s="1">
        <v>1500000</v>
      </c>
      <c r="O132" s="357" t="s">
        <v>4971</v>
      </c>
      <c r="P132" s="357">
        <v>846</v>
      </c>
      <c r="Q132" s="1">
        <v>472.7</v>
      </c>
      <c r="R132" s="1">
        <f t="shared" si="19"/>
        <v>399904.2</v>
      </c>
      <c r="S132" s="279" t="s">
        <v>422</v>
      </c>
      <c r="AB132" s="356"/>
      <c r="AC132" s="356"/>
      <c r="AE132" t="s">
        <v>25</v>
      </c>
      <c r="AJ132" s="63">
        <v>112</v>
      </c>
      <c r="AK132" s="64" t="s">
        <v>4484</v>
      </c>
      <c r="AL132" s="64">
        <v>13101160</v>
      </c>
      <c r="AM132" s="63">
        <v>1</v>
      </c>
      <c r="AN132" s="63">
        <f t="shared" si="22"/>
        <v>1155</v>
      </c>
      <c r="AO132" s="64">
        <f t="shared" si="21"/>
        <v>15131839800</v>
      </c>
      <c r="AP132" s="63" t="s">
        <v>4487</v>
      </c>
    </row>
    <row r="133" spans="1:45">
      <c r="A133" s="354"/>
      <c r="B133" s="28" t="s">
        <v>6769</v>
      </c>
      <c r="C133" s="28"/>
      <c r="D133" s="11"/>
      <c r="E133" s="317">
        <v>8454346</v>
      </c>
      <c r="F133" s="317">
        <v>28837784</v>
      </c>
      <c r="G133" s="2" t="s">
        <v>5476</v>
      </c>
      <c r="H133" s="3">
        <v>30912095.373174001</v>
      </c>
      <c r="M133" s="357" t="s">
        <v>900</v>
      </c>
      <c r="N133" s="1">
        <v>11221062</v>
      </c>
      <c r="O133" s="357" t="s">
        <v>4974</v>
      </c>
      <c r="P133" s="357">
        <v>191</v>
      </c>
      <c r="Q133" s="1">
        <v>484.572</v>
      </c>
      <c r="R133" s="1">
        <f t="shared" si="19"/>
        <v>92553.252000000008</v>
      </c>
      <c r="S133" s="279" t="s">
        <v>4975</v>
      </c>
      <c r="AB133" s="356"/>
      <c r="AC133" s="356"/>
      <c r="AJ133" s="20">
        <v>113</v>
      </c>
      <c r="AK133" s="37" t="s">
        <v>4486</v>
      </c>
      <c r="AL133" s="37">
        <v>-980000</v>
      </c>
      <c r="AM133" s="20">
        <v>0</v>
      </c>
      <c r="AN133" s="11">
        <f t="shared" si="22"/>
        <v>1154</v>
      </c>
      <c r="AO133" s="37">
        <f t="shared" si="21"/>
        <v>-1130920000</v>
      </c>
      <c r="AP133" s="20"/>
    </row>
    <row r="134" spans="1:45">
      <c r="A134" s="354"/>
      <c r="B134" s="28" t="s">
        <v>6763</v>
      </c>
      <c r="C134" s="28"/>
      <c r="D134" s="11"/>
      <c r="E134" s="317">
        <v>8586134</v>
      </c>
      <c r="F134" s="317">
        <v>28322059</v>
      </c>
      <c r="G134" s="2" t="s">
        <v>5478</v>
      </c>
      <c r="H134" s="3">
        <v>19602926.115093999</v>
      </c>
      <c r="M134" s="357" t="s">
        <v>5604</v>
      </c>
      <c r="N134" s="1">
        <v>20031495.928431001</v>
      </c>
      <c r="O134" s="357" t="s">
        <v>4974</v>
      </c>
      <c r="P134" s="357">
        <v>-206</v>
      </c>
      <c r="Q134" s="1">
        <v>484.572</v>
      </c>
      <c r="R134" s="1">
        <f t="shared" si="19"/>
        <v>-99821.831999999995</v>
      </c>
      <c r="S134" s="279" t="s">
        <v>4977</v>
      </c>
      <c r="AB134" s="356"/>
      <c r="AC134" s="356"/>
      <c r="AD134" t="s">
        <v>25</v>
      </c>
      <c r="AJ134" s="63">
        <v>114</v>
      </c>
      <c r="AK134" s="64" t="s">
        <v>4486</v>
      </c>
      <c r="AL134" s="64">
        <v>13301790</v>
      </c>
      <c r="AM134" s="63">
        <v>0</v>
      </c>
      <c r="AN134" s="63">
        <f t="shared" si="22"/>
        <v>1154</v>
      </c>
      <c r="AO134" s="64">
        <f t="shared" si="21"/>
        <v>15350265660</v>
      </c>
      <c r="AP134" s="63" t="s">
        <v>4487</v>
      </c>
      <c r="AS134" t="s">
        <v>25</v>
      </c>
    </row>
    <row r="135" spans="1:45">
      <c r="A135" s="354"/>
      <c r="B135" s="28" t="s">
        <v>6761</v>
      </c>
      <c r="C135" s="28"/>
      <c r="D135" s="11"/>
      <c r="E135" s="317">
        <v>8610051</v>
      </c>
      <c r="F135" s="317">
        <v>28298912</v>
      </c>
      <c r="G135" s="2" t="s">
        <v>5479</v>
      </c>
      <c r="H135" s="3">
        <v>34458590.308710001</v>
      </c>
      <c r="M135" s="357" t="s">
        <v>5615</v>
      </c>
      <c r="N135" s="1">
        <v>-154353015.43906799</v>
      </c>
      <c r="O135" s="357" t="s">
        <v>4978</v>
      </c>
      <c r="P135" s="357">
        <v>20685</v>
      </c>
      <c r="Q135" s="1">
        <v>483.43312200000003</v>
      </c>
      <c r="R135" s="1">
        <f t="shared" si="19"/>
        <v>9999814.1285699997</v>
      </c>
      <c r="S135" s="279" t="s">
        <v>4980</v>
      </c>
      <c r="AB135" s="356"/>
      <c r="AC135" s="356"/>
      <c r="AD135" t="s">
        <v>25</v>
      </c>
      <c r="AE135" t="s">
        <v>25</v>
      </c>
      <c r="AJ135" s="20">
        <v>115</v>
      </c>
      <c r="AK135" s="37" t="s">
        <v>4486</v>
      </c>
      <c r="AL135" s="37">
        <v>404000</v>
      </c>
      <c r="AM135" s="20">
        <v>5</v>
      </c>
      <c r="AN135" s="11">
        <f t="shared" si="22"/>
        <v>1154</v>
      </c>
      <c r="AO135" s="37">
        <f t="shared" si="21"/>
        <v>466216000</v>
      </c>
      <c r="AP135" s="20" t="s">
        <v>4493</v>
      </c>
    </row>
    <row r="136" spans="1:45">
      <c r="A136" s="354"/>
      <c r="B136" s="28" t="s">
        <v>6759</v>
      </c>
      <c r="C136" s="28"/>
      <c r="D136" s="11"/>
      <c r="E136" s="317">
        <v>8513365</v>
      </c>
      <c r="F136" s="317">
        <v>28757587</v>
      </c>
      <c r="G136" s="2" t="s">
        <v>5480</v>
      </c>
      <c r="H136" s="3">
        <v>21697868.203256</v>
      </c>
      <c r="M136" s="357" t="s">
        <v>5633</v>
      </c>
      <c r="N136" s="1">
        <v>16643927.89773</v>
      </c>
      <c r="O136" s="357" t="s">
        <v>4978</v>
      </c>
      <c r="P136" s="357">
        <v>-413</v>
      </c>
      <c r="Q136" s="1">
        <v>483.40199999999999</v>
      </c>
      <c r="R136" s="1">
        <f t="shared" si="19"/>
        <v>-199645.02599999998</v>
      </c>
      <c r="S136" s="279" t="s">
        <v>4316</v>
      </c>
      <c r="AB136" s="356"/>
      <c r="AC136" s="356"/>
      <c r="AJ136" s="63">
        <v>116</v>
      </c>
      <c r="AK136" s="64" t="s">
        <v>4499</v>
      </c>
      <c r="AL136" s="64">
        <v>4291628</v>
      </c>
      <c r="AM136" s="63">
        <v>2</v>
      </c>
      <c r="AN136" s="63">
        <f t="shared" si="22"/>
        <v>1149</v>
      </c>
      <c r="AO136" s="64">
        <f t="shared" si="21"/>
        <v>4931080572</v>
      </c>
      <c r="AP136" s="63" t="s">
        <v>4500</v>
      </c>
    </row>
    <row r="137" spans="1:45">
      <c r="A137" s="354"/>
      <c r="B137" s="28" t="s">
        <v>6749</v>
      </c>
      <c r="C137" s="28"/>
      <c r="D137" s="11"/>
      <c r="E137" s="317">
        <v>8529023</v>
      </c>
      <c r="F137" s="317">
        <v>28095606</v>
      </c>
      <c r="G137" s="2" t="s">
        <v>5481</v>
      </c>
      <c r="H137" s="3">
        <v>25340079.252110001</v>
      </c>
      <c r="M137" s="357" t="s">
        <v>5634</v>
      </c>
      <c r="N137" s="1">
        <v>33355467.51292</v>
      </c>
      <c r="O137" s="357" t="s">
        <v>4978</v>
      </c>
      <c r="P137" s="357">
        <v>413</v>
      </c>
      <c r="Q137" s="1">
        <v>483.40199999999999</v>
      </c>
      <c r="R137" s="1">
        <f t="shared" si="19"/>
        <v>199645.02599999998</v>
      </c>
      <c r="S137" s="279" t="s">
        <v>690</v>
      </c>
      <c r="AB137" s="356"/>
      <c r="AC137" s="356"/>
      <c r="AD137" t="s">
        <v>25</v>
      </c>
      <c r="AE137" t="s">
        <v>25</v>
      </c>
      <c r="AJ137" s="20">
        <v>117</v>
      </c>
      <c r="AK137" s="37" t="s">
        <v>4502</v>
      </c>
      <c r="AL137" s="37">
        <v>1000</v>
      </c>
      <c r="AM137" s="20">
        <v>5</v>
      </c>
      <c r="AN137" s="20">
        <f t="shared" si="22"/>
        <v>1147</v>
      </c>
      <c r="AO137" s="37">
        <f t="shared" si="21"/>
        <v>1147000</v>
      </c>
      <c r="AP137" s="20"/>
    </row>
    <row r="138" spans="1:45">
      <c r="A138" s="354"/>
      <c r="B138" s="28" t="s">
        <v>6745</v>
      </c>
      <c r="C138" s="28"/>
      <c r="D138" s="11"/>
      <c r="E138" s="317">
        <v>8453570</v>
      </c>
      <c r="F138" s="317">
        <v>28319161</v>
      </c>
      <c r="G138" s="2" t="s">
        <v>5482</v>
      </c>
      <c r="H138" s="3">
        <v>14780983.183526</v>
      </c>
      <c r="M138" s="357" t="s">
        <v>5984</v>
      </c>
      <c r="N138" s="1">
        <v>30000000</v>
      </c>
      <c r="O138" s="357" t="s">
        <v>4983</v>
      </c>
      <c r="P138" s="357">
        <v>-828</v>
      </c>
      <c r="Q138" s="1">
        <v>483.43312200000003</v>
      </c>
      <c r="R138" s="1">
        <f t="shared" si="19"/>
        <v>-400282.62501600001</v>
      </c>
      <c r="S138" s="279" t="s">
        <v>422</v>
      </c>
      <c r="AB138" s="356"/>
      <c r="AC138" s="356"/>
      <c r="AJ138" s="53">
        <v>118</v>
      </c>
      <c r="AK138" s="54" t="s">
        <v>4509</v>
      </c>
      <c r="AL138" s="54">
        <v>8739459</v>
      </c>
      <c r="AM138" s="53">
        <v>2</v>
      </c>
      <c r="AN138" s="53">
        <f t="shared" si="22"/>
        <v>1142</v>
      </c>
      <c r="AO138" s="54">
        <f t="shared" si="21"/>
        <v>9980462178</v>
      </c>
      <c r="AP138" s="53" t="s">
        <v>4474</v>
      </c>
    </row>
    <row r="139" spans="1:45">
      <c r="A139" s="354"/>
      <c r="B139" s="28" t="s">
        <v>6726</v>
      </c>
      <c r="C139" s="28"/>
      <c r="D139" s="11"/>
      <c r="E139" s="317">
        <v>8482269</v>
      </c>
      <c r="F139" s="317">
        <v>28140133</v>
      </c>
      <c r="G139" s="2" t="s">
        <v>5484</v>
      </c>
      <c r="H139" s="3">
        <v>17804396.448481999</v>
      </c>
      <c r="M139" s="357" t="s">
        <v>5994</v>
      </c>
      <c r="N139" s="1">
        <v>6000000</v>
      </c>
      <c r="O139" s="357" t="s">
        <v>4986</v>
      </c>
      <c r="P139" s="357">
        <v>12</v>
      </c>
      <c r="Q139" s="1">
        <v>473.61898300000001</v>
      </c>
      <c r="R139" s="1">
        <f t="shared" si="19"/>
        <v>5683.4277959999999</v>
      </c>
      <c r="S139" s="279" t="s">
        <v>422</v>
      </c>
      <c r="AB139" s="356"/>
      <c r="AC139" s="356"/>
      <c r="AD139" t="s">
        <v>25</v>
      </c>
      <c r="AE139" t="s">
        <v>25</v>
      </c>
      <c r="AJ139" s="53">
        <v>119</v>
      </c>
      <c r="AK139" s="54" t="s">
        <v>4510</v>
      </c>
      <c r="AL139" s="54">
        <v>17595278</v>
      </c>
      <c r="AM139" s="53">
        <v>1</v>
      </c>
      <c r="AN139" s="53">
        <f t="shared" si="22"/>
        <v>1140</v>
      </c>
      <c r="AO139" s="54">
        <f t="shared" si="21"/>
        <v>20058616920</v>
      </c>
      <c r="AP139" s="53" t="s">
        <v>4512</v>
      </c>
      <c r="AS139" t="s">
        <v>25</v>
      </c>
    </row>
    <row r="140" spans="1:45">
      <c r="A140" s="354"/>
      <c r="B140" s="28" t="s">
        <v>6725</v>
      </c>
      <c r="C140" s="28"/>
      <c r="D140" s="11"/>
      <c r="E140" s="317">
        <v>8642567</v>
      </c>
      <c r="F140" s="317">
        <v>26967121</v>
      </c>
      <c r="G140" s="2" t="s">
        <v>5487</v>
      </c>
      <c r="H140" s="3">
        <v>11538335.631417999</v>
      </c>
      <c r="M140" s="357" t="s">
        <v>6060</v>
      </c>
      <c r="N140" s="1">
        <v>126128.77475900001</v>
      </c>
      <c r="O140" s="357" t="s">
        <v>4989</v>
      </c>
      <c r="P140" s="357">
        <v>963</v>
      </c>
      <c r="Q140" s="1">
        <v>477.92200000000003</v>
      </c>
      <c r="R140" s="1">
        <f t="shared" si="19"/>
        <v>460238.886</v>
      </c>
      <c r="S140" s="279" t="s">
        <v>422</v>
      </c>
      <c r="AB140" s="356"/>
      <c r="AC140" s="356"/>
      <c r="AJ140" s="53">
        <v>120</v>
      </c>
      <c r="AK140" s="54" t="s">
        <v>4511</v>
      </c>
      <c r="AL140" s="54">
        <v>13335309</v>
      </c>
      <c r="AM140" s="53">
        <v>13</v>
      </c>
      <c r="AN140" s="53">
        <f t="shared" si="22"/>
        <v>1139</v>
      </c>
      <c r="AO140" s="54">
        <f t="shared" si="21"/>
        <v>15188916951</v>
      </c>
      <c r="AP140" s="53" t="s">
        <v>4487</v>
      </c>
    </row>
    <row r="141" spans="1:45">
      <c r="A141" s="354"/>
      <c r="B141" s="28" t="s">
        <v>6721</v>
      </c>
      <c r="C141" s="28"/>
      <c r="D141" s="11"/>
      <c r="E141" s="317">
        <v>8644960</v>
      </c>
      <c r="F141" s="317">
        <v>26783008</v>
      </c>
      <c r="G141" s="2" t="s">
        <v>5488</v>
      </c>
      <c r="H141" s="3">
        <v>12429517.767776001</v>
      </c>
      <c r="M141" s="357" t="s">
        <v>6588</v>
      </c>
      <c r="N141" s="1">
        <v>7000000</v>
      </c>
      <c r="O141" s="357" t="s">
        <v>4990</v>
      </c>
      <c r="P141" s="357">
        <v>2815</v>
      </c>
      <c r="Q141" s="1">
        <v>461.79</v>
      </c>
      <c r="R141" s="1">
        <f t="shared" si="19"/>
        <v>1299938.8500000001</v>
      </c>
      <c r="S141" s="279" t="s">
        <v>422</v>
      </c>
      <c r="AB141" s="356"/>
      <c r="AC141" s="356"/>
      <c r="AD141" t="s">
        <v>25</v>
      </c>
      <c r="AJ141" s="109">
        <v>121</v>
      </c>
      <c r="AK141" s="152" t="s">
        <v>4558</v>
      </c>
      <c r="AL141" s="152">
        <v>50000000</v>
      </c>
      <c r="AM141" s="109">
        <v>11</v>
      </c>
      <c r="AN141" s="109">
        <f t="shared" si="22"/>
        <v>1126</v>
      </c>
      <c r="AO141" s="152">
        <f t="shared" si="21"/>
        <v>56300000000</v>
      </c>
      <c r="AP141" s="109" t="s">
        <v>4559</v>
      </c>
      <c r="AR141" t="s">
        <v>25</v>
      </c>
    </row>
    <row r="142" spans="1:45">
      <c r="A142" s="354"/>
      <c r="B142" s="28" t="s">
        <v>6719</v>
      </c>
      <c r="C142" s="28"/>
      <c r="D142" s="11"/>
      <c r="E142" s="317">
        <v>8805601</v>
      </c>
      <c r="F142" s="317">
        <v>22891512</v>
      </c>
      <c r="G142" s="2" t="s">
        <v>5496</v>
      </c>
      <c r="H142" s="3">
        <v>5031176.5087869996</v>
      </c>
      <c r="M142" s="357" t="s">
        <v>6653</v>
      </c>
      <c r="N142" s="1">
        <v>-450269000</v>
      </c>
      <c r="O142" s="357" t="s">
        <v>4990</v>
      </c>
      <c r="P142" s="357">
        <v>1581</v>
      </c>
      <c r="Q142" s="1">
        <v>461.79</v>
      </c>
      <c r="R142" s="1">
        <f t="shared" si="19"/>
        <v>730089.99</v>
      </c>
      <c r="S142" s="279" t="s">
        <v>422</v>
      </c>
      <c r="AB142" s="356"/>
      <c r="AC142" s="356"/>
      <c r="AE142" t="s">
        <v>25</v>
      </c>
      <c r="AJ142" s="20">
        <v>122</v>
      </c>
      <c r="AK142" s="37" t="s">
        <v>894</v>
      </c>
      <c r="AL142" s="37">
        <v>30000</v>
      </c>
      <c r="AM142" s="20">
        <v>3</v>
      </c>
      <c r="AN142" s="20">
        <f t="shared" si="22"/>
        <v>1115</v>
      </c>
      <c r="AO142" s="37">
        <f t="shared" si="21"/>
        <v>33450000</v>
      </c>
      <c r="AP142" s="20"/>
    </row>
    <row r="143" spans="1:45">
      <c r="A143" s="354"/>
      <c r="B143" s="28" t="s">
        <v>6701</v>
      </c>
      <c r="C143" s="28"/>
      <c r="D143" s="11"/>
      <c r="E143" s="317">
        <v>8781893</v>
      </c>
      <c r="F143" s="317">
        <v>23027738</v>
      </c>
      <c r="G143" s="2" t="s">
        <v>5498</v>
      </c>
      <c r="H143" s="3">
        <v>6822803.9080700008</v>
      </c>
      <c r="M143" s="357" t="s">
        <v>6661</v>
      </c>
      <c r="N143" s="1">
        <v>50000000</v>
      </c>
      <c r="O143" s="357" t="s">
        <v>912</v>
      </c>
      <c r="P143" s="357">
        <v>41</v>
      </c>
      <c r="Q143" s="1">
        <v>514.48099999999999</v>
      </c>
      <c r="R143" s="1">
        <f t="shared" si="19"/>
        <v>21093.721000000001</v>
      </c>
      <c r="S143" s="279" t="s">
        <v>4975</v>
      </c>
      <c r="AA143" t="s">
        <v>25</v>
      </c>
      <c r="AB143" s="356"/>
      <c r="AC143" s="356"/>
      <c r="AJ143" s="20">
        <v>123</v>
      </c>
      <c r="AK143" s="37" t="s">
        <v>4613</v>
      </c>
      <c r="AL143" s="37">
        <v>600000</v>
      </c>
      <c r="AM143" s="20">
        <v>1</v>
      </c>
      <c r="AN143" s="20">
        <f t="shared" si="22"/>
        <v>1112</v>
      </c>
      <c r="AO143" s="37">
        <f t="shared" si="21"/>
        <v>667200000</v>
      </c>
      <c r="AP143" s="20"/>
    </row>
    <row r="144" spans="1:45">
      <c r="A144" s="354"/>
      <c r="B144" s="28" t="s">
        <v>6700</v>
      </c>
      <c r="C144" s="28"/>
      <c r="D144" s="11"/>
      <c r="E144" s="317">
        <v>8795917</v>
      </c>
      <c r="F144" s="317">
        <v>22935150</v>
      </c>
      <c r="G144" s="2" t="s">
        <v>5502</v>
      </c>
      <c r="H144" s="3">
        <v>330889.73324399994</v>
      </c>
      <c r="M144" s="357" t="s">
        <v>6667</v>
      </c>
      <c r="N144" s="1">
        <v>50000000</v>
      </c>
      <c r="O144" s="357" t="s">
        <v>4171</v>
      </c>
      <c r="P144" s="357">
        <v>71</v>
      </c>
      <c r="Q144" s="1">
        <v>482.57</v>
      </c>
      <c r="R144" s="1">
        <f t="shared" si="19"/>
        <v>34262.47</v>
      </c>
      <c r="S144" s="279" t="s">
        <v>4975</v>
      </c>
      <c r="AB144" t="s">
        <v>25</v>
      </c>
      <c r="AE144" t="s">
        <v>25</v>
      </c>
      <c r="AJ144" s="20">
        <v>124</v>
      </c>
      <c r="AK144" s="37" t="s">
        <v>4616</v>
      </c>
      <c r="AL144" s="37">
        <v>30000</v>
      </c>
      <c r="AM144" s="20">
        <v>3</v>
      </c>
      <c r="AN144" s="20">
        <f t="shared" si="22"/>
        <v>1111</v>
      </c>
      <c r="AO144" s="37">
        <f t="shared" si="21"/>
        <v>33330000</v>
      </c>
      <c r="AP144" s="20"/>
    </row>
    <row r="145" spans="1:46">
      <c r="A145" s="354"/>
      <c r="B145" s="28" t="s">
        <v>6695</v>
      </c>
      <c r="C145" s="28"/>
      <c r="D145" s="11"/>
      <c r="E145" s="317">
        <v>8867443</v>
      </c>
      <c r="F145" s="317">
        <v>22289254</v>
      </c>
      <c r="G145" s="2" t="s">
        <v>5510</v>
      </c>
      <c r="H145" s="3">
        <v>6610318.1610199995</v>
      </c>
      <c r="M145" s="357" t="s">
        <v>6668</v>
      </c>
      <c r="N145" s="1">
        <v>50000000</v>
      </c>
      <c r="O145" s="357" t="s">
        <v>5010</v>
      </c>
      <c r="P145" s="357">
        <v>-250</v>
      </c>
      <c r="Q145" s="1">
        <v>487.125</v>
      </c>
      <c r="R145" s="1">
        <f t="shared" si="19"/>
        <v>-121781.25</v>
      </c>
      <c r="S145" s="279" t="s">
        <v>4316</v>
      </c>
      <c r="AB145" t="s">
        <v>25</v>
      </c>
      <c r="AC145" t="s">
        <v>25</v>
      </c>
      <c r="AD145" t="s">
        <v>25</v>
      </c>
      <c r="AE145" t="s">
        <v>25</v>
      </c>
      <c r="AJ145" s="20">
        <v>125</v>
      </c>
      <c r="AK145" s="37" t="s">
        <v>4622</v>
      </c>
      <c r="AL145" s="37">
        <v>2250000</v>
      </c>
      <c r="AM145" s="20">
        <v>1</v>
      </c>
      <c r="AN145" s="20">
        <f t="shared" si="22"/>
        <v>1108</v>
      </c>
      <c r="AO145" s="37">
        <f>AL145*AN145</f>
        <v>2493000000</v>
      </c>
      <c r="AP145" s="20"/>
      <c r="AT145" t="s">
        <v>25</v>
      </c>
    </row>
    <row r="146" spans="1:46">
      <c r="A146" s="354"/>
      <c r="B146" s="28" t="s">
        <v>6686</v>
      </c>
      <c r="C146" s="28"/>
      <c r="D146" s="11"/>
      <c r="E146" s="317">
        <v>8821867</v>
      </c>
      <c r="F146" s="317">
        <v>22669798</v>
      </c>
      <c r="G146" s="2" t="s">
        <v>5511</v>
      </c>
      <c r="H146" s="3">
        <v>710713.17725199996</v>
      </c>
      <c r="M146" s="357" t="s">
        <v>6669</v>
      </c>
      <c r="N146" s="1">
        <v>50000000</v>
      </c>
      <c r="O146" s="357" t="s">
        <v>5010</v>
      </c>
      <c r="P146" s="357">
        <v>250</v>
      </c>
      <c r="Q146" s="1">
        <v>487.125</v>
      </c>
      <c r="R146" s="1">
        <f t="shared" si="19"/>
        <v>121781.25</v>
      </c>
      <c r="S146" s="279" t="s">
        <v>690</v>
      </c>
      <c r="AB146" t="s">
        <v>25</v>
      </c>
      <c r="AC146" t="s">
        <v>25</v>
      </c>
      <c r="AJ146" s="23">
        <v>126</v>
      </c>
      <c r="AK146" s="31" t="s">
        <v>4627</v>
      </c>
      <c r="AL146" s="31">
        <v>-31412200</v>
      </c>
      <c r="AM146" s="23">
        <v>1</v>
      </c>
      <c r="AN146" s="20">
        <f t="shared" si="22"/>
        <v>1107</v>
      </c>
      <c r="AO146" s="31">
        <f>AL146*AN146</f>
        <v>-34773305400</v>
      </c>
      <c r="AP146" s="23" t="s">
        <v>4615</v>
      </c>
    </row>
    <row r="147" spans="1:46">
      <c r="F147" s="317">
        <v>23080898</v>
      </c>
      <c r="G147" s="2" t="s">
        <v>5512</v>
      </c>
      <c r="H147" s="3">
        <v>81025</v>
      </c>
      <c r="M147" s="357" t="s">
        <v>6670</v>
      </c>
      <c r="N147" s="1">
        <v>100000000</v>
      </c>
      <c r="O147" s="357" t="s">
        <v>5018</v>
      </c>
      <c r="P147" s="357">
        <v>-1439</v>
      </c>
      <c r="Q147" s="1">
        <v>486.53068999999999</v>
      </c>
      <c r="R147" s="1">
        <f t="shared" si="19"/>
        <v>-700117.66290999996</v>
      </c>
      <c r="S147" s="279" t="s">
        <v>4316</v>
      </c>
      <c r="AB147" t="s">
        <v>25</v>
      </c>
      <c r="AC147" t="s">
        <v>25</v>
      </c>
      <c r="AE147" t="s">
        <v>25</v>
      </c>
      <c r="AJ147" s="20">
        <v>127</v>
      </c>
      <c r="AK147" s="37" t="s">
        <v>4636</v>
      </c>
      <c r="AL147" s="37">
        <v>70000</v>
      </c>
      <c r="AM147" s="20">
        <v>9</v>
      </c>
      <c r="AN147" s="20">
        <f t="shared" si="22"/>
        <v>1106</v>
      </c>
      <c r="AO147" s="37">
        <f>AL147*AN147</f>
        <v>77420000</v>
      </c>
      <c r="AP147" s="20"/>
    </row>
    <row r="148" spans="1:46">
      <c r="G148" s="2" t="s">
        <v>5515</v>
      </c>
      <c r="H148" s="3">
        <v>219696.613128</v>
      </c>
      <c r="M148" s="357" t="s">
        <v>6672</v>
      </c>
      <c r="N148" s="1">
        <v>50000000</v>
      </c>
      <c r="O148" s="357" t="s">
        <v>5018</v>
      </c>
      <c r="P148" s="357">
        <v>411</v>
      </c>
      <c r="Q148" s="1">
        <v>486.53068999999999</v>
      </c>
      <c r="R148" s="1">
        <f t="shared" si="19"/>
        <v>199964.11358999999</v>
      </c>
      <c r="S148" s="279" t="s">
        <v>690</v>
      </c>
      <c r="AC148" t="s">
        <v>25</v>
      </c>
      <c r="AD148" t="s">
        <v>25</v>
      </c>
      <c r="AJ148" s="11">
        <v>128</v>
      </c>
      <c r="AK148" s="3" t="s">
        <v>4642</v>
      </c>
      <c r="AL148" s="3">
        <v>20000</v>
      </c>
      <c r="AM148" s="11">
        <v>10</v>
      </c>
      <c r="AN148" s="20">
        <f t="shared" si="22"/>
        <v>1097</v>
      </c>
      <c r="AO148" s="37">
        <f>AL148*AN148</f>
        <v>21940000</v>
      </c>
      <c r="AP148" s="20"/>
      <c r="AR148" t="s">
        <v>25</v>
      </c>
    </row>
    <row r="149" spans="1:46">
      <c r="G149" s="2" t="s">
        <v>5516</v>
      </c>
      <c r="H149" s="3">
        <v>6035472.4070199998</v>
      </c>
      <c r="M149" s="357" t="s">
        <v>6674</v>
      </c>
      <c r="N149" s="1">
        <v>11300000</v>
      </c>
      <c r="O149" s="357" t="s">
        <v>4988</v>
      </c>
      <c r="P149" s="357">
        <v>-4290</v>
      </c>
      <c r="Q149" s="1">
        <v>497.57670000000002</v>
      </c>
      <c r="R149" s="1">
        <f t="shared" si="19"/>
        <v>-2134604.0430000001</v>
      </c>
      <c r="S149" s="279" t="s">
        <v>422</v>
      </c>
      <c r="AA149" t="s">
        <v>25</v>
      </c>
      <c r="AB149" s="383" t="s">
        <v>25</v>
      </c>
      <c r="AC149" t="s">
        <v>25</v>
      </c>
      <c r="AJ149" s="11">
        <v>129</v>
      </c>
      <c r="AK149" s="3" t="s">
        <v>4661</v>
      </c>
      <c r="AL149" s="3">
        <v>1000000</v>
      </c>
      <c r="AM149" s="11">
        <v>1</v>
      </c>
      <c r="AN149" s="20">
        <f t="shared" si="22"/>
        <v>1087</v>
      </c>
      <c r="AO149" s="37">
        <f>AL149*AN149</f>
        <v>1087000000</v>
      </c>
      <c r="AP149" s="20"/>
    </row>
    <row r="150" spans="1:46">
      <c r="G150" s="2" t="s">
        <v>5517</v>
      </c>
      <c r="H150" s="3">
        <v>984486.34963200008</v>
      </c>
      <c r="M150" s="357" t="s">
        <v>6674</v>
      </c>
      <c r="N150" s="1">
        <v>65111600</v>
      </c>
      <c r="O150" s="357" t="s">
        <v>5025</v>
      </c>
      <c r="P150" s="357">
        <v>-644</v>
      </c>
      <c r="Q150" s="1">
        <v>494.76464499999997</v>
      </c>
      <c r="R150" s="1">
        <f t="shared" si="19"/>
        <v>-318628.43137999997</v>
      </c>
      <c r="S150" s="279" t="s">
        <v>422</v>
      </c>
      <c r="AB150" s="383"/>
      <c r="AC150" t="s">
        <v>25</v>
      </c>
      <c r="AE150" s="7" t="s">
        <v>25</v>
      </c>
      <c r="AF150" s="7"/>
      <c r="AJ150" s="11">
        <v>130</v>
      </c>
      <c r="AK150" s="3" t="s">
        <v>4662</v>
      </c>
      <c r="AL150" s="3">
        <v>65630227</v>
      </c>
      <c r="AM150" s="11">
        <v>0</v>
      </c>
      <c r="AN150" s="20">
        <f t="shared" si="22"/>
        <v>1086</v>
      </c>
      <c r="AO150" s="37">
        <f t="shared" ref="AO150:AO177" si="23">AL150*AN150</f>
        <v>71274426522</v>
      </c>
      <c r="AP150" s="20" t="s">
        <v>4665</v>
      </c>
      <c r="AR150" t="s">
        <v>25</v>
      </c>
      <c r="AT150" t="s">
        <v>25</v>
      </c>
    </row>
    <row r="151" spans="1:46">
      <c r="G151" s="2" t="s">
        <v>5518</v>
      </c>
      <c r="H151" s="3">
        <v>2143469.938015</v>
      </c>
      <c r="M151" s="357" t="s">
        <v>6678</v>
      </c>
      <c r="N151" s="1">
        <v>25000000</v>
      </c>
      <c r="O151" s="357" t="s">
        <v>5028</v>
      </c>
      <c r="P151" s="357">
        <v>-112</v>
      </c>
      <c r="Q151" s="1">
        <v>485.78</v>
      </c>
      <c r="R151" s="1">
        <f t="shared" si="19"/>
        <v>-54407.360000000001</v>
      </c>
      <c r="S151" s="279" t="s">
        <v>422</v>
      </c>
      <c r="AB151" s="383"/>
      <c r="AC151" t="s">
        <v>25</v>
      </c>
      <c r="AD151" t="s">
        <v>25</v>
      </c>
      <c r="AE151" s="7"/>
      <c r="AJ151" s="11">
        <v>131</v>
      </c>
      <c r="AK151" s="3" t="s">
        <v>4662</v>
      </c>
      <c r="AL151" s="3">
        <v>-3500000</v>
      </c>
      <c r="AM151" s="11">
        <v>6</v>
      </c>
      <c r="AN151" s="20">
        <f t="shared" si="22"/>
        <v>1086</v>
      </c>
      <c r="AO151" s="37">
        <f t="shared" si="23"/>
        <v>-3801000000</v>
      </c>
      <c r="AP151" s="20" t="s">
        <v>4664</v>
      </c>
    </row>
    <row r="152" spans="1:46">
      <c r="G152" s="2" t="s">
        <v>5528</v>
      </c>
      <c r="H152" s="3">
        <v>3085460.5177150001</v>
      </c>
      <c r="M152" s="357" t="s">
        <v>6702</v>
      </c>
      <c r="N152" s="1">
        <v>-35640108.705879003</v>
      </c>
      <c r="O152" s="357" t="s">
        <v>5028</v>
      </c>
      <c r="P152" s="357">
        <v>123</v>
      </c>
      <c r="Q152" s="1">
        <v>485.78</v>
      </c>
      <c r="R152" s="1">
        <f t="shared" si="19"/>
        <v>59750.939999999995</v>
      </c>
      <c r="S152" s="279" t="s">
        <v>690</v>
      </c>
      <c r="AB152" s="383"/>
      <c r="AC152" t="s">
        <v>25</v>
      </c>
      <c r="AD152" t="s">
        <v>25</v>
      </c>
      <c r="AE152" s="7" t="s">
        <v>25</v>
      </c>
      <c r="AF152" s="7"/>
      <c r="AJ152" s="11">
        <v>132</v>
      </c>
      <c r="AK152" s="3" t="s">
        <v>4674</v>
      </c>
      <c r="AL152" s="3">
        <v>2520000</v>
      </c>
      <c r="AM152" s="11">
        <v>12</v>
      </c>
      <c r="AN152" s="20">
        <f t="shared" si="22"/>
        <v>1080</v>
      </c>
      <c r="AO152" s="37">
        <f t="shared" si="23"/>
        <v>2721600000</v>
      </c>
      <c r="AP152" s="20"/>
    </row>
    <row r="153" spans="1:46">
      <c r="E153" t="s">
        <v>25</v>
      </c>
      <c r="G153" s="2" t="s">
        <v>5529</v>
      </c>
      <c r="H153" s="3">
        <v>8261456.790906</v>
      </c>
      <c r="M153" s="357"/>
      <c r="N153" s="1"/>
      <c r="O153" s="357" t="s">
        <v>5028</v>
      </c>
      <c r="P153" s="357">
        <v>-123</v>
      </c>
      <c r="Q153" s="1">
        <v>485.78</v>
      </c>
      <c r="R153" s="1">
        <f t="shared" si="19"/>
        <v>-59750.939999999995</v>
      </c>
      <c r="S153" s="279" t="s">
        <v>4316</v>
      </c>
      <c r="AB153" s="383"/>
      <c r="AC153" t="s">
        <v>25</v>
      </c>
      <c r="AD153" t="s">
        <v>25</v>
      </c>
      <c r="AE153" t="s">
        <v>25</v>
      </c>
      <c r="AJ153" s="11">
        <v>133</v>
      </c>
      <c r="AK153" s="3" t="s">
        <v>4709</v>
      </c>
      <c r="AL153" s="3">
        <v>1400000</v>
      </c>
      <c r="AM153" s="11">
        <v>4</v>
      </c>
      <c r="AN153" s="20">
        <f t="shared" si="22"/>
        <v>1068</v>
      </c>
      <c r="AO153" s="37">
        <f t="shared" si="23"/>
        <v>1495200000</v>
      </c>
      <c r="AP153" s="20"/>
    </row>
    <row r="154" spans="1:46">
      <c r="D154" t="s">
        <v>25</v>
      </c>
      <c r="G154" s="2" t="s">
        <v>5530</v>
      </c>
      <c r="H154" s="3">
        <v>6572373.7593120001</v>
      </c>
      <c r="M154" s="357"/>
      <c r="N154" s="1"/>
      <c r="O154" s="357" t="s">
        <v>5071</v>
      </c>
      <c r="P154" s="357">
        <v>32367</v>
      </c>
      <c r="Q154" s="1">
        <v>556.12900000000002</v>
      </c>
      <c r="R154" s="1">
        <f t="shared" si="19"/>
        <v>18000227.343000002</v>
      </c>
      <c r="S154" s="279" t="s">
        <v>422</v>
      </c>
      <c r="AB154" s="383"/>
      <c r="AD154" t="s">
        <v>25</v>
      </c>
      <c r="AJ154" s="11">
        <v>134</v>
      </c>
      <c r="AK154" s="3" t="s">
        <v>4724</v>
      </c>
      <c r="AL154" s="3">
        <v>1550000</v>
      </c>
      <c r="AM154" s="11">
        <v>2</v>
      </c>
      <c r="AN154" s="20">
        <f t="shared" si="22"/>
        <v>1064</v>
      </c>
      <c r="AO154" s="37">
        <f t="shared" si="23"/>
        <v>1649200000</v>
      </c>
      <c r="AP154" s="20"/>
    </row>
    <row r="155" spans="1:46">
      <c r="G155" s="2" t="s">
        <v>5534</v>
      </c>
      <c r="H155" s="3">
        <v>2893243.5730909999</v>
      </c>
      <c r="M155" s="357" t="s">
        <v>25</v>
      </c>
      <c r="N155" s="1"/>
      <c r="O155" s="357" t="s">
        <v>5087</v>
      </c>
      <c r="P155" s="357">
        <v>1254</v>
      </c>
      <c r="Q155" s="1">
        <v>558.24400000000003</v>
      </c>
      <c r="R155" s="1">
        <f t="shared" si="19"/>
        <v>700037.97600000002</v>
      </c>
      <c r="S155" s="279" t="s">
        <v>4316</v>
      </c>
      <c r="AB155" s="383"/>
      <c r="AC155" t="s">
        <v>25</v>
      </c>
      <c r="AD155" t="s">
        <v>25</v>
      </c>
      <c r="AJ155" s="11">
        <v>135</v>
      </c>
      <c r="AK155" s="3" t="s">
        <v>4681</v>
      </c>
      <c r="AL155" s="3">
        <v>250000</v>
      </c>
      <c r="AM155" s="11">
        <v>6</v>
      </c>
      <c r="AN155" s="20">
        <f t="shared" si="22"/>
        <v>1062</v>
      </c>
      <c r="AO155" s="37">
        <f t="shared" si="23"/>
        <v>265500000</v>
      </c>
      <c r="AP155" s="20"/>
    </row>
    <row r="156" spans="1:46">
      <c r="D156" t="s">
        <v>25</v>
      </c>
      <c r="G156" s="2" t="s">
        <v>5535</v>
      </c>
      <c r="H156" s="3">
        <v>94992058.939007998</v>
      </c>
      <c r="M156" s="357"/>
      <c r="N156" s="1">
        <f>SUM(N83:N155)</f>
        <v>124345113.72729298</v>
      </c>
      <c r="O156" s="357" t="s">
        <v>5087</v>
      </c>
      <c r="P156" s="357">
        <v>-358</v>
      </c>
      <c r="Q156" s="1">
        <v>558.24400000000003</v>
      </c>
      <c r="R156" s="1">
        <f t="shared" si="19"/>
        <v>-199851.35200000001</v>
      </c>
      <c r="S156" s="279" t="s">
        <v>690</v>
      </c>
      <c r="AB156" s="383"/>
      <c r="AJ156" s="11">
        <v>136</v>
      </c>
      <c r="AK156" s="3" t="s">
        <v>4731</v>
      </c>
      <c r="AL156" s="3">
        <v>-48527480</v>
      </c>
      <c r="AM156" s="11">
        <v>14</v>
      </c>
      <c r="AN156" s="20">
        <f t="shared" si="22"/>
        <v>1056</v>
      </c>
      <c r="AO156" s="37">
        <f t="shared" si="23"/>
        <v>-51245018880</v>
      </c>
      <c r="AP156" s="20" t="s">
        <v>4733</v>
      </c>
    </row>
    <row r="157" spans="1:46" ht="18.75">
      <c r="A157" s="490" t="s">
        <v>4134</v>
      </c>
      <c r="B157" s="491">
        <f>C2+C10+C30+C21+C42</f>
        <v>9233194</v>
      </c>
      <c r="C157" s="493">
        <f>B157*D42</f>
        <v>19435873370</v>
      </c>
      <c r="D157" s="549">
        <f>C157/$C$175</f>
        <v>0.72105326925705771</v>
      </c>
      <c r="E157" s="492"/>
      <c r="G157" s="2" t="s">
        <v>5537</v>
      </c>
      <c r="H157" s="3">
        <v>275021.925965</v>
      </c>
      <c r="M157" s="35"/>
      <c r="N157" s="357" t="s">
        <v>6</v>
      </c>
      <c r="O157" s="189" t="s">
        <v>5106</v>
      </c>
      <c r="P157" s="189">
        <v>63259</v>
      </c>
      <c r="Q157" s="190">
        <v>632.31960000000004</v>
      </c>
      <c r="R157" s="190">
        <f t="shared" si="19"/>
        <v>39999905.576400004</v>
      </c>
      <c r="S157" s="394" t="s">
        <v>1005</v>
      </c>
      <c r="AB157" s="383"/>
      <c r="AJ157" s="11">
        <v>137</v>
      </c>
      <c r="AK157" s="3" t="s">
        <v>4752</v>
      </c>
      <c r="AL157" s="3">
        <v>2100000</v>
      </c>
      <c r="AM157" s="11">
        <v>1</v>
      </c>
      <c r="AN157" s="20">
        <f t="shared" si="22"/>
        <v>1042</v>
      </c>
      <c r="AO157" s="37">
        <f t="shared" si="23"/>
        <v>2188200000</v>
      </c>
      <c r="AP157" s="20"/>
    </row>
    <row r="158" spans="1:46" ht="18.75">
      <c r="A158" s="490" t="s">
        <v>5139</v>
      </c>
      <c r="B158" s="491">
        <f>C3+C11+C31+C22+C43</f>
        <v>10</v>
      </c>
      <c r="C158" s="493">
        <f>B158*D43</f>
        <v>8543.0232558139523</v>
      </c>
      <c r="D158" s="549">
        <f>C158/$C$175</f>
        <v>3.1693841232017267E-7</v>
      </c>
      <c r="E158" s="492"/>
      <c r="G158" s="2" t="s">
        <v>5541</v>
      </c>
      <c r="H158" s="3">
        <v>327451.9203</v>
      </c>
      <c r="M158" s="35"/>
      <c r="N158" s="35" t="s">
        <v>25</v>
      </c>
      <c r="O158" s="370" t="s">
        <v>5110</v>
      </c>
      <c r="P158" s="370">
        <v>-1278</v>
      </c>
      <c r="Q158" s="18">
        <v>625.98</v>
      </c>
      <c r="R158" s="18">
        <f t="shared" si="19"/>
        <v>-800002.44000000006</v>
      </c>
      <c r="S158" s="395" t="s">
        <v>5111</v>
      </c>
      <c r="AB158" s="383"/>
      <c r="AE158" t="s">
        <v>25</v>
      </c>
      <c r="AJ158" s="11">
        <v>138</v>
      </c>
      <c r="AK158" s="3" t="s">
        <v>4755</v>
      </c>
      <c r="AL158" s="3">
        <v>100000</v>
      </c>
      <c r="AM158" s="11">
        <v>4</v>
      </c>
      <c r="AN158" s="20">
        <f>AN159+AM158</f>
        <v>1041</v>
      </c>
      <c r="AO158" s="37">
        <f t="shared" si="23"/>
        <v>104100000</v>
      </c>
      <c r="AP158" s="20"/>
    </row>
    <row r="159" spans="1:46" ht="18.75">
      <c r="A159" s="490" t="s">
        <v>4542</v>
      </c>
      <c r="B159" s="491">
        <f>C44+C12</f>
        <v>614268</v>
      </c>
      <c r="C159" s="493">
        <f>B159*D44</f>
        <v>324947772</v>
      </c>
      <c r="D159" s="549">
        <f>C159/$C$175</f>
        <v>1.2055267539459021E-2</v>
      </c>
      <c r="E159" s="492"/>
      <c r="G159" s="2" t="s">
        <v>5547</v>
      </c>
      <c r="H159" s="3">
        <v>260081.94096800001</v>
      </c>
      <c r="M159" s="357" t="s">
        <v>422</v>
      </c>
      <c r="N159" s="35"/>
      <c r="O159" s="370" t="s">
        <v>5115</v>
      </c>
      <c r="P159" s="370">
        <v>32049</v>
      </c>
      <c r="Q159" s="18">
        <v>624.04600000000005</v>
      </c>
      <c r="R159" s="18">
        <f t="shared" si="19"/>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1:46" ht="18.75">
      <c r="A160" s="490" t="s">
        <v>6891</v>
      </c>
      <c r="B160" s="491">
        <f>C61+C62</f>
        <v>210000</v>
      </c>
      <c r="C160" s="493">
        <f>B160*D61</f>
        <v>237090000</v>
      </c>
      <c r="D160" s="549">
        <f>C160/$C$175</f>
        <v>8.7958239052962003E-3</v>
      </c>
      <c r="E160" s="492"/>
      <c r="G160" s="2" t="s">
        <v>5554</v>
      </c>
      <c r="H160" s="3">
        <v>2909284.5308940001</v>
      </c>
      <c r="M160" s="357" t="s">
        <v>4310</v>
      </c>
      <c r="N160" s="357"/>
      <c r="O160" s="370" t="s">
        <v>5122</v>
      </c>
      <c r="P160" s="370">
        <v>45094</v>
      </c>
      <c r="Q160" s="18">
        <v>614.13559759999998</v>
      </c>
      <c r="R160" s="18">
        <f t="shared" si="19"/>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1:45" ht="18.75">
      <c r="A161" s="490" t="s">
        <v>4716</v>
      </c>
      <c r="B161" s="491">
        <f>C13</f>
        <v>6582</v>
      </c>
      <c r="C161" s="493">
        <f>B161*D13</f>
        <v>107931636</v>
      </c>
      <c r="D161" s="549">
        <f>C161/$C$175</f>
        <v>4.0041657769898688E-3</v>
      </c>
      <c r="E161" s="492"/>
      <c r="G161" s="2" t="s">
        <v>5555</v>
      </c>
      <c r="H161" s="3">
        <v>37723205.094084002</v>
      </c>
      <c r="M161" s="357" t="s">
        <v>4350</v>
      </c>
      <c r="N161" s="1">
        <v>63115000</v>
      </c>
      <c r="O161" s="370" t="s">
        <v>5149</v>
      </c>
      <c r="P161" s="370">
        <v>-11804</v>
      </c>
      <c r="Q161" s="18">
        <v>762.46640000000002</v>
      </c>
      <c r="R161" s="18">
        <f t="shared" si="19"/>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1:45" ht="18.75">
      <c r="A162" s="490" t="s">
        <v>6920</v>
      </c>
      <c r="B162" s="491">
        <f>C58+C60+C59</f>
        <v>1661000</v>
      </c>
      <c r="C162" s="493">
        <f>B162*D58</f>
        <v>518232000</v>
      </c>
      <c r="D162" s="549">
        <f>C162/$C$175</f>
        <v>1.9225937045381333E-2</v>
      </c>
      <c r="E162" s="492"/>
      <c r="G162" s="2" t="s">
        <v>5556</v>
      </c>
      <c r="H162" s="3">
        <v>1500094.75168</v>
      </c>
      <c r="M162" s="357" t="s">
        <v>4358</v>
      </c>
      <c r="N162" s="1">
        <v>13300000</v>
      </c>
      <c r="O162" s="370" t="s">
        <v>5192</v>
      </c>
      <c r="P162" s="370">
        <v>844</v>
      </c>
      <c r="Q162" s="18">
        <v>830</v>
      </c>
      <c r="R162" s="18">
        <f t="shared" si="19"/>
        <v>700520</v>
      </c>
      <c r="S162" s="395" t="s">
        <v>4316</v>
      </c>
      <c r="AB162" s="383"/>
      <c r="AJ162" s="11">
        <v>142</v>
      </c>
      <c r="AK162" s="3" t="s">
        <v>4768</v>
      </c>
      <c r="AL162" s="3">
        <v>-1100000</v>
      </c>
      <c r="AM162" s="11"/>
      <c r="AN162" s="20">
        <f t="shared" si="24"/>
        <v>1037</v>
      </c>
      <c r="AO162" s="37">
        <f t="shared" si="25"/>
        <v>-1140700000</v>
      </c>
      <c r="AP162" s="20" t="s">
        <v>4775</v>
      </c>
      <c r="AS162" t="s">
        <v>25</v>
      </c>
    </row>
    <row r="163" spans="1:45" ht="18.75">
      <c r="A163" s="490" t="s">
        <v>6921</v>
      </c>
      <c r="B163" s="491">
        <f>C46+C47+C48</f>
        <v>1167065</v>
      </c>
      <c r="C163" s="493">
        <f>B163*D46</f>
        <v>2485848450</v>
      </c>
      <c r="D163" s="549">
        <f>C163/$C$175</f>
        <v>9.2222722263501228E-2</v>
      </c>
      <c r="E163" s="492"/>
      <c r="F163" s="589"/>
      <c r="G163" s="2" t="s">
        <v>5557</v>
      </c>
      <c r="H163" s="3">
        <v>7230628.4378079996</v>
      </c>
      <c r="M163" s="357" t="s">
        <v>4442</v>
      </c>
      <c r="N163" s="1">
        <v>2269000</v>
      </c>
      <c r="O163" s="370" t="s">
        <v>5196</v>
      </c>
      <c r="P163" s="370">
        <v>8662</v>
      </c>
      <c r="Q163" s="18">
        <v>832.57011999999997</v>
      </c>
      <c r="R163" s="18">
        <f t="shared" si="19"/>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1:45" ht="18.75">
      <c r="A164" s="490" t="s">
        <v>5594</v>
      </c>
      <c r="B164" s="491">
        <f>C5+C14+C32+C23+C49</f>
        <v>19948737</v>
      </c>
      <c r="C164" s="493">
        <f>B164*D49</f>
        <v>2573387073</v>
      </c>
      <c r="D164" s="549">
        <f>C164/$C$175</f>
        <v>9.5470325759304975E-2</v>
      </c>
      <c r="E164" s="492"/>
      <c r="G164" s="2" t="s">
        <v>5559</v>
      </c>
      <c r="H164" s="3">
        <v>29767389.390390001</v>
      </c>
      <c r="M164" s="357" t="s">
        <v>4451</v>
      </c>
      <c r="N164" s="1">
        <v>25071612</v>
      </c>
      <c r="O164" s="370" t="s">
        <v>5197</v>
      </c>
      <c r="P164" s="370">
        <v>10253</v>
      </c>
      <c r="Q164" s="18">
        <v>827.2568</v>
      </c>
      <c r="R164" s="18">
        <f t="shared" si="19"/>
        <v>8481863.9704</v>
      </c>
      <c r="S164" s="395" t="s">
        <v>5200</v>
      </c>
      <c r="AJ164" s="11">
        <v>144</v>
      </c>
      <c r="AK164" s="3" t="s">
        <v>4772</v>
      </c>
      <c r="AL164" s="3">
        <v>2000000</v>
      </c>
      <c r="AM164" s="11">
        <v>0</v>
      </c>
      <c r="AN164" s="20">
        <f t="shared" si="24"/>
        <v>1036</v>
      </c>
      <c r="AO164" s="37">
        <f t="shared" si="25"/>
        <v>2072000000</v>
      </c>
      <c r="AP164" s="20"/>
    </row>
    <row r="165" spans="1:45" ht="18.75">
      <c r="A165" s="490">
        <v>1220</v>
      </c>
      <c r="B165" s="491">
        <f>C6+C15+C33+C24+C50</f>
        <v>6832000</v>
      </c>
      <c r="C165" s="493">
        <f>B165*D50</f>
        <v>881328000</v>
      </c>
      <c r="D165" s="549">
        <f>C165/$C$175</f>
        <v>3.2696469234496983E-2</v>
      </c>
      <c r="E165" s="492"/>
      <c r="G165" s="2" t="s">
        <v>5561</v>
      </c>
      <c r="H165" s="3">
        <v>151560.25597</v>
      </c>
      <c r="M165" s="357" t="s">
        <v>4452</v>
      </c>
      <c r="N165" s="1">
        <v>42236984</v>
      </c>
      <c r="O165" s="391" t="s">
        <v>5201</v>
      </c>
      <c r="P165" s="391">
        <v>-33077</v>
      </c>
      <c r="Q165" s="392">
        <v>786.02973999999995</v>
      </c>
      <c r="R165" s="392">
        <f t="shared" si="19"/>
        <v>-25999505.70998</v>
      </c>
      <c r="S165" s="396" t="s">
        <v>5203</v>
      </c>
      <c r="AD165" t="s">
        <v>25</v>
      </c>
      <c r="AJ165" s="11">
        <v>145</v>
      </c>
      <c r="AK165" s="3" t="s">
        <v>4772</v>
      </c>
      <c r="AL165" s="3">
        <v>360000</v>
      </c>
      <c r="AM165" s="11">
        <v>1</v>
      </c>
      <c r="AN165" s="20">
        <f t="shared" si="24"/>
        <v>1036</v>
      </c>
      <c r="AO165" s="37">
        <f t="shared" si="25"/>
        <v>372960000</v>
      </c>
      <c r="AP165" s="20"/>
    </row>
    <row r="166" spans="1:45" ht="18.75">
      <c r="A166" s="490">
        <v>6014</v>
      </c>
      <c r="B166" s="491">
        <f>C16+C34+C7+C51+C25</f>
        <v>517000</v>
      </c>
      <c r="C166" s="493">
        <f>B166*D16</f>
        <v>66693000</v>
      </c>
      <c r="D166" s="549">
        <f>C166/$C$175</f>
        <v>2.4742497942381353E-3</v>
      </c>
      <c r="E166" s="492"/>
      <c r="F166" s="522"/>
      <c r="G166" s="2" t="s">
        <v>5562</v>
      </c>
      <c r="H166" s="3">
        <v>481318.88078800001</v>
      </c>
      <c r="M166" s="357" t="s">
        <v>4473</v>
      </c>
      <c r="N166" s="1">
        <v>19663646</v>
      </c>
      <c r="O166" s="370" t="s">
        <v>5201</v>
      </c>
      <c r="P166" s="370">
        <v>-33077</v>
      </c>
      <c r="Q166" s="18">
        <v>786.02973999999995</v>
      </c>
      <c r="R166" s="18">
        <f t="shared" si="19"/>
        <v>-25999505.70998</v>
      </c>
      <c r="S166" s="395" t="s">
        <v>5204</v>
      </c>
      <c r="AJ166" s="11">
        <v>146</v>
      </c>
      <c r="AK166" s="3" t="s">
        <v>4773</v>
      </c>
      <c r="AL166" s="3">
        <v>3000000</v>
      </c>
      <c r="AM166" s="11">
        <v>1</v>
      </c>
      <c r="AN166" s="20">
        <f t="shared" si="24"/>
        <v>1035</v>
      </c>
      <c r="AO166" s="37">
        <f t="shared" si="25"/>
        <v>3105000000</v>
      </c>
      <c r="AP166" s="20"/>
    </row>
    <row r="167" spans="1:45" ht="18.75">
      <c r="A167" s="490">
        <v>5007</v>
      </c>
      <c r="B167" s="491">
        <f>C52</f>
        <v>50000</v>
      </c>
      <c r="C167" s="493">
        <f>B167*D52</f>
        <v>6450000</v>
      </c>
      <c r="D167" s="549"/>
      <c r="E167" s="492"/>
      <c r="F167" s="522"/>
      <c r="G167" s="2" t="s">
        <v>5563</v>
      </c>
      <c r="H167" s="3">
        <v>146277.56820000001</v>
      </c>
      <c r="M167" s="357" t="s">
        <v>4484</v>
      </c>
      <c r="N167" s="1">
        <v>4374525</v>
      </c>
      <c r="O167" s="370" t="s">
        <v>5201</v>
      </c>
      <c r="P167" s="370">
        <v>1983</v>
      </c>
      <c r="Q167" s="18">
        <v>786.02973999999995</v>
      </c>
      <c r="R167" s="18">
        <f t="shared" si="19"/>
        <v>1558696.9744199999</v>
      </c>
      <c r="S167" s="395" t="s">
        <v>4975</v>
      </c>
      <c r="AA167" t="s">
        <v>25</v>
      </c>
      <c r="AJ167" s="11">
        <v>147</v>
      </c>
      <c r="AK167" s="3" t="s">
        <v>4771</v>
      </c>
      <c r="AL167" s="3">
        <v>-658226</v>
      </c>
      <c r="AM167" s="11">
        <v>1</v>
      </c>
      <c r="AN167" s="20">
        <f t="shared" si="24"/>
        <v>1034</v>
      </c>
      <c r="AO167" s="37">
        <f t="shared" si="25"/>
        <v>-680605684</v>
      </c>
      <c r="AP167" s="20"/>
    </row>
    <row r="168" spans="1:45" ht="18.75">
      <c r="A168" s="490">
        <v>5006</v>
      </c>
      <c r="B168" s="491">
        <f>C53+C35+C17</f>
        <v>202000</v>
      </c>
      <c r="C168" s="493">
        <f>B168*D53</f>
        <v>26058000</v>
      </c>
      <c r="D168" s="549">
        <f>C168/$C$175</f>
        <v>9.667281594508768E-4</v>
      </c>
      <c r="E168" s="492"/>
      <c r="F168" s="522"/>
      <c r="G168" s="2" t="s">
        <v>5574</v>
      </c>
      <c r="H168" s="3">
        <v>424693.40162399999</v>
      </c>
      <c r="M168" s="357" t="s">
        <v>4486</v>
      </c>
      <c r="N168" s="1">
        <v>6550580</v>
      </c>
      <c r="O168" s="391" t="s">
        <v>5205</v>
      </c>
      <c r="P168" s="391">
        <v>-119753</v>
      </c>
      <c r="Q168" s="392">
        <v>800.81560000000002</v>
      </c>
      <c r="R168" s="392">
        <f t="shared" si="19"/>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1:45" ht="18.75">
      <c r="A169" s="490">
        <v>5004</v>
      </c>
      <c r="B169" s="491">
        <f>C54</f>
        <v>0</v>
      </c>
      <c r="C169" s="493">
        <f>B169*D54</f>
        <v>0</v>
      </c>
      <c r="D169" s="549">
        <f>C169/$C$175</f>
        <v>0</v>
      </c>
      <c r="E169" s="492"/>
      <c r="F169" s="548"/>
      <c r="G169" s="2" t="s">
        <v>5577</v>
      </c>
      <c r="H169" s="3">
        <v>558320.40202399995</v>
      </c>
      <c r="M169" s="357" t="s">
        <v>4499</v>
      </c>
      <c r="N169" s="1">
        <v>7054895</v>
      </c>
      <c r="O169" s="370" t="s">
        <v>5205</v>
      </c>
      <c r="P169" s="370">
        <v>-119753</v>
      </c>
      <c r="Q169" s="18">
        <v>800.81560000000002</v>
      </c>
      <c r="R169" s="18">
        <f t="shared" si="19"/>
        <v>-95900070.546800002</v>
      </c>
      <c r="S169" s="395" t="s">
        <v>5204</v>
      </c>
      <c r="AB169" t="s">
        <v>25</v>
      </c>
      <c r="AJ169" s="11">
        <v>149</v>
      </c>
      <c r="AK169" s="3" t="s">
        <v>4799</v>
      </c>
      <c r="AL169" s="3">
        <v>1130250</v>
      </c>
      <c r="AM169" s="11">
        <v>5</v>
      </c>
      <c r="AN169" s="20">
        <f t="shared" si="22"/>
        <v>1018</v>
      </c>
      <c r="AO169" s="37">
        <f t="shared" si="23"/>
        <v>1150594500</v>
      </c>
      <c r="AP169" s="20"/>
    </row>
    <row r="170" spans="1:45" ht="18.75">
      <c r="A170" s="490">
        <v>4010</v>
      </c>
      <c r="B170" s="491">
        <f>C36+C57</f>
        <v>0</v>
      </c>
      <c r="C170" s="493">
        <f>B170*D36</f>
        <v>0</v>
      </c>
      <c r="D170" s="549">
        <f>C170/$C$175</f>
        <v>0</v>
      </c>
      <c r="E170" s="492"/>
      <c r="F170" s="586"/>
      <c r="G170" s="2" t="s">
        <v>5578</v>
      </c>
      <c r="H170" s="3">
        <v>207642.22201140001</v>
      </c>
      <c r="M170" s="357" t="s">
        <v>4509</v>
      </c>
      <c r="N170" s="1">
        <v>2145814</v>
      </c>
      <c r="O170" s="370" t="s">
        <v>5205</v>
      </c>
      <c r="P170" s="370">
        <v>11291</v>
      </c>
      <c r="Q170" s="18">
        <v>800.81560000000002</v>
      </c>
      <c r="R170" s="18">
        <f t="shared" si="19"/>
        <v>9042008.9396000002</v>
      </c>
      <c r="S170" s="395" t="s">
        <v>422</v>
      </c>
      <c r="AG170" t="s">
        <v>25</v>
      </c>
      <c r="AJ170" s="11">
        <v>150</v>
      </c>
      <c r="AK170" s="3" t="s">
        <v>4805</v>
      </c>
      <c r="AL170" s="3">
        <v>206000</v>
      </c>
      <c r="AM170" s="11">
        <v>2</v>
      </c>
      <c r="AN170" s="20">
        <f t="shared" si="22"/>
        <v>1013</v>
      </c>
      <c r="AO170" s="37">
        <f t="shared" si="23"/>
        <v>208678000</v>
      </c>
      <c r="AP170" s="20"/>
    </row>
    <row r="171" spans="1:45" ht="18.75">
      <c r="A171" s="490">
        <v>4009</v>
      </c>
      <c r="B171" s="491">
        <f>C55+C37</f>
        <v>0</v>
      </c>
      <c r="C171" s="493">
        <f>B171*D55</f>
        <v>0</v>
      </c>
      <c r="D171" s="549">
        <f>C171/$C$175</f>
        <v>0</v>
      </c>
      <c r="E171" s="492"/>
      <c r="F171" s="522" t="s">
        <v>25</v>
      </c>
      <c r="G171" s="200" t="s">
        <v>5608</v>
      </c>
      <c r="H171" s="64">
        <v>637977.33504399995</v>
      </c>
      <c r="M171" s="357" t="s">
        <v>4511</v>
      </c>
      <c r="N171" s="1">
        <v>4369730</v>
      </c>
      <c r="O171" s="189" t="s">
        <v>5206</v>
      </c>
      <c r="P171" s="189">
        <v>-35361</v>
      </c>
      <c r="Q171" s="190">
        <v>818.697</v>
      </c>
      <c r="R171" s="190">
        <f t="shared" si="19"/>
        <v>-28949944.616999999</v>
      </c>
      <c r="S171" s="394" t="s">
        <v>5203</v>
      </c>
      <c r="AC171" t="s">
        <v>25</v>
      </c>
      <c r="AJ171" s="11">
        <v>151</v>
      </c>
      <c r="AK171" s="3" t="s">
        <v>4812</v>
      </c>
      <c r="AL171" s="3">
        <v>50000</v>
      </c>
      <c r="AM171" s="11">
        <v>2</v>
      </c>
      <c r="AN171" s="20">
        <f t="shared" si="22"/>
        <v>1011</v>
      </c>
      <c r="AO171" s="37">
        <f t="shared" si="23"/>
        <v>50550000</v>
      </c>
      <c r="AP171" s="20"/>
    </row>
    <row r="172" spans="1:45" ht="18.75">
      <c r="A172" s="490">
        <v>4007</v>
      </c>
      <c r="B172" s="491">
        <f>C56+C18</f>
        <v>0</v>
      </c>
      <c r="C172" s="493">
        <f>B172*D56</f>
        <v>0</v>
      </c>
      <c r="D172" s="549">
        <f>C172/$C$175</f>
        <v>0</v>
      </c>
      <c r="E172" s="492"/>
      <c r="F172" s="584"/>
      <c r="G172" s="2" t="s">
        <v>5609</v>
      </c>
      <c r="H172" s="3">
        <v>466552.25632400002</v>
      </c>
      <c r="M172" s="357" t="s">
        <v>4520</v>
      </c>
      <c r="N172" s="1">
        <v>8739459</v>
      </c>
      <c r="O172" s="370" t="s">
        <v>5206</v>
      </c>
      <c r="P172" s="370">
        <v>-35361</v>
      </c>
      <c r="Q172" s="18">
        <v>818.697</v>
      </c>
      <c r="R172" s="18">
        <f t="shared" si="19"/>
        <v>-28949944.616999999</v>
      </c>
      <c r="S172" s="395" t="s">
        <v>5204</v>
      </c>
      <c r="AA172" t="s">
        <v>25</v>
      </c>
      <c r="AJ172" s="11">
        <v>152</v>
      </c>
      <c r="AK172" s="3" t="s">
        <v>4816</v>
      </c>
      <c r="AL172" s="3">
        <v>105000</v>
      </c>
      <c r="AM172" s="11">
        <v>4</v>
      </c>
      <c r="AN172" s="20">
        <f t="shared" si="22"/>
        <v>1009</v>
      </c>
      <c r="AO172" s="37">
        <f t="shared" si="23"/>
        <v>105945000</v>
      </c>
      <c r="AP172" s="20"/>
    </row>
    <row r="173" spans="1:45" ht="18.75">
      <c r="A173" s="490" t="s">
        <v>6919</v>
      </c>
      <c r="B173" s="521">
        <f>B1+B9+B29+B20+B41</f>
        <v>290989196</v>
      </c>
      <c r="C173" s="521">
        <f>B173</f>
        <v>290989196</v>
      </c>
      <c r="D173" s="549">
        <f>C173/$C$175</f>
        <v>1.0795435178032482E-2</v>
      </c>
      <c r="E173" s="492"/>
      <c r="F173" s="583"/>
      <c r="G173" s="2" t="s">
        <v>5610</v>
      </c>
      <c r="H173" s="3">
        <v>189134.85153000001</v>
      </c>
      <c r="M173" s="357" t="s">
        <v>3599</v>
      </c>
      <c r="N173" s="1">
        <v>6667654</v>
      </c>
      <c r="O173" s="370" t="s">
        <v>5206</v>
      </c>
      <c r="P173" s="370">
        <v>116</v>
      </c>
      <c r="Q173" s="18">
        <v>818.697</v>
      </c>
      <c r="R173" s="18">
        <f t="shared" si="19"/>
        <v>94968.851999999999</v>
      </c>
      <c r="S173" s="395" t="s">
        <v>4975</v>
      </c>
      <c r="AA173" t="s">
        <v>25</v>
      </c>
      <c r="AJ173" s="11">
        <v>153</v>
      </c>
      <c r="AK173" s="3" t="s">
        <v>4820</v>
      </c>
      <c r="AL173" s="3">
        <v>5000000</v>
      </c>
      <c r="AM173" s="11">
        <v>1</v>
      </c>
      <c r="AN173" s="20">
        <f t="shared" si="22"/>
        <v>1005</v>
      </c>
      <c r="AO173" s="37">
        <f t="shared" si="23"/>
        <v>5025000000</v>
      </c>
      <c r="AP173" s="20"/>
    </row>
    <row r="174" spans="1:45" ht="18.75">
      <c r="A174" s="490"/>
      <c r="B174" s="490"/>
      <c r="C174" s="490"/>
      <c r="D174" s="549"/>
      <c r="E174" s="490"/>
      <c r="F174" s="522"/>
      <c r="G174" s="2" t="s">
        <v>5612</v>
      </c>
      <c r="H174" s="3">
        <v>564888.82799599995</v>
      </c>
      <c r="M174" s="357" t="s">
        <v>4531</v>
      </c>
      <c r="N174" s="1">
        <v>8981245</v>
      </c>
      <c r="O174" s="370" t="s">
        <v>5210</v>
      </c>
      <c r="P174" s="370">
        <v>48633</v>
      </c>
      <c r="Q174" s="18">
        <v>822.47199999999998</v>
      </c>
      <c r="R174" s="18">
        <f t="shared" si="19"/>
        <v>39999280.776000001</v>
      </c>
      <c r="S174" s="395" t="s">
        <v>5213</v>
      </c>
      <c r="AB174" t="s">
        <v>25</v>
      </c>
      <c r="AJ174" s="11">
        <v>154</v>
      </c>
      <c r="AK174" s="3" t="s">
        <v>4821</v>
      </c>
      <c r="AL174" s="3">
        <v>2500000</v>
      </c>
      <c r="AM174" s="11">
        <v>2</v>
      </c>
      <c r="AN174" s="20">
        <f t="shared" si="22"/>
        <v>1004</v>
      </c>
      <c r="AO174" s="37">
        <f t="shared" si="23"/>
        <v>2510000000</v>
      </c>
      <c r="AP174" s="20"/>
    </row>
    <row r="175" spans="1:45" ht="18.75">
      <c r="A175" s="490" t="s">
        <v>4780</v>
      </c>
      <c r="B175" s="490"/>
      <c r="C175" s="521">
        <f>SUM(C157:C173)</f>
        <v>26954837040.023254</v>
      </c>
      <c r="D175" s="549">
        <f>C175/$C$175</f>
        <v>1</v>
      </c>
      <c r="E175" s="492"/>
      <c r="F175" s="522"/>
      <c r="G175" s="2" t="s">
        <v>5637</v>
      </c>
      <c r="H175" s="3">
        <v>259993.58394100002</v>
      </c>
      <c r="M175" s="357" t="s">
        <v>4533</v>
      </c>
      <c r="N175" s="1">
        <v>9181756</v>
      </c>
      <c r="O175" s="370" t="s">
        <v>5210</v>
      </c>
      <c r="P175" s="370">
        <v>3412</v>
      </c>
      <c r="Q175" s="18">
        <v>822.47199999999998</v>
      </c>
      <c r="R175" s="18">
        <f t="shared" si="19"/>
        <v>2806274.4640000002</v>
      </c>
      <c r="S175" s="395" t="s">
        <v>5215</v>
      </c>
      <c r="AJ175" s="178">
        <v>155</v>
      </c>
      <c r="AK175" s="174" t="s">
        <v>4827</v>
      </c>
      <c r="AL175" s="174">
        <v>-50000000</v>
      </c>
      <c r="AM175" s="178">
        <v>7</v>
      </c>
      <c r="AN175" s="178">
        <f t="shared" si="22"/>
        <v>1002</v>
      </c>
      <c r="AO175" s="174">
        <f t="shared" si="23"/>
        <v>-50100000000</v>
      </c>
      <c r="AP175" s="178" t="s">
        <v>4835</v>
      </c>
    </row>
    <row r="176" spans="1:45">
      <c r="G176" s="2" t="s">
        <v>5638</v>
      </c>
      <c r="H176" s="3">
        <v>269955.31205999997</v>
      </c>
      <c r="M176" s="357" t="s">
        <v>4545</v>
      </c>
      <c r="N176" s="1">
        <v>11811208</v>
      </c>
      <c r="O176" s="370" t="s">
        <v>5211</v>
      </c>
      <c r="P176" s="370">
        <v>1531</v>
      </c>
      <c r="Q176" s="18">
        <v>869.82500000000005</v>
      </c>
      <c r="R176" s="18">
        <f t="shared" si="19"/>
        <v>1331702.075</v>
      </c>
      <c r="S176" s="395" t="s">
        <v>5216</v>
      </c>
      <c r="AJ176" s="11">
        <v>156</v>
      </c>
      <c r="AK176" s="3" t="s">
        <v>4833</v>
      </c>
      <c r="AL176" s="3">
        <v>10000000</v>
      </c>
      <c r="AM176" s="11">
        <v>12</v>
      </c>
      <c r="AN176" s="20">
        <f t="shared" si="22"/>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9"/>
        <v>851237.75020000001</v>
      </c>
      <c r="S177" s="395" t="s">
        <v>422</v>
      </c>
      <c r="AJ177" s="11">
        <v>157</v>
      </c>
      <c r="AK177" s="3" t="s">
        <v>4840</v>
      </c>
      <c r="AL177" s="3">
        <v>-16266000</v>
      </c>
      <c r="AM177" s="11">
        <v>1</v>
      </c>
      <c r="AN177" s="20">
        <f t="shared" si="22"/>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9"/>
        <v>1896102.2520000001</v>
      </c>
      <c r="S178" s="394" t="s">
        <v>5226</v>
      </c>
      <c r="AJ178" s="11">
        <v>158</v>
      </c>
      <c r="AK178" s="3" t="s">
        <v>4849</v>
      </c>
      <c r="AL178" s="3">
        <v>1000000</v>
      </c>
      <c r="AM178" s="11">
        <v>6</v>
      </c>
      <c r="AN178" s="20">
        <f>AN179+AM178</f>
        <v>982</v>
      </c>
      <c r="AO178" s="37">
        <f>AL178*AN178</f>
        <v>982000000</v>
      </c>
      <c r="AP178" s="20"/>
    </row>
    <row r="179" spans="5:45">
      <c r="E179" t="s">
        <v>25</v>
      </c>
      <c r="G179" s="2" t="s">
        <v>5994</v>
      </c>
      <c r="H179" s="3">
        <v>2136964.3409779998</v>
      </c>
      <c r="M179" s="357" t="s">
        <v>4613</v>
      </c>
      <c r="N179" s="1">
        <v>50000000</v>
      </c>
      <c r="O179" s="370" t="s">
        <v>5229</v>
      </c>
      <c r="P179" s="370">
        <v>315</v>
      </c>
      <c r="Q179" s="18">
        <v>680</v>
      </c>
      <c r="R179" s="18">
        <f t="shared" si="19"/>
        <v>214200</v>
      </c>
      <c r="S179" s="395" t="s">
        <v>4975</v>
      </c>
      <c r="AJ179" s="11">
        <v>159</v>
      </c>
      <c r="AK179" s="3" t="s">
        <v>4857</v>
      </c>
      <c r="AL179" s="3">
        <v>40000</v>
      </c>
      <c r="AM179" s="11">
        <v>5</v>
      </c>
      <c r="AN179" s="20">
        <f>AN180+AM179</f>
        <v>976</v>
      </c>
      <c r="AO179" s="37">
        <f>AL179*AN179</f>
        <v>39040000</v>
      </c>
      <c r="AP179" s="20"/>
    </row>
    <row r="180" spans="5:45">
      <c r="G180" s="2" t="s">
        <v>5997</v>
      </c>
      <c r="H180" s="3">
        <v>593783.22629999998</v>
      </c>
      <c r="M180" s="357" t="s">
        <v>4622</v>
      </c>
      <c r="N180" s="1">
        <v>68656</v>
      </c>
      <c r="O180" s="370" t="s">
        <v>5251</v>
      </c>
      <c r="P180" s="370">
        <v>832</v>
      </c>
      <c r="Q180" s="18">
        <v>784.36500000000001</v>
      </c>
      <c r="R180" s="18">
        <f t="shared" si="19"/>
        <v>652591.68000000005</v>
      </c>
      <c r="S180" s="395" t="s">
        <v>4975</v>
      </c>
      <c r="AJ180" s="11">
        <v>160</v>
      </c>
      <c r="AK180" s="3" t="s">
        <v>4865</v>
      </c>
      <c r="AL180" s="3">
        <v>120000</v>
      </c>
      <c r="AM180" s="11">
        <v>6</v>
      </c>
      <c r="AN180" s="20">
        <f>AN181+AM180</f>
        <v>971</v>
      </c>
      <c r="AO180" s="37">
        <f>AL180*AN180</f>
        <v>116520000</v>
      </c>
      <c r="AP180" s="20"/>
    </row>
    <row r="181" spans="5:45">
      <c r="E181" t="s">
        <v>25</v>
      </c>
      <c r="G181" s="2" t="s">
        <v>6001</v>
      </c>
      <c r="H181" s="3">
        <v>469469.96222000004</v>
      </c>
      <c r="M181" s="357" t="s">
        <v>4622</v>
      </c>
      <c r="N181" s="1">
        <v>4000236</v>
      </c>
      <c r="O181" s="370" t="s">
        <v>5292</v>
      </c>
      <c r="P181" s="370">
        <v>382</v>
      </c>
      <c r="Q181" s="18">
        <v>1450.6065000000001</v>
      </c>
      <c r="R181" s="18">
        <f t="shared" si="19"/>
        <v>554131.68300000008</v>
      </c>
      <c r="S181" s="395" t="s">
        <v>4975</v>
      </c>
      <c r="AA181" t="s">
        <v>25</v>
      </c>
      <c r="AJ181" s="11">
        <v>161</v>
      </c>
      <c r="AK181" s="3" t="s">
        <v>4862</v>
      </c>
      <c r="AL181" s="3">
        <v>249000</v>
      </c>
      <c r="AM181" s="11">
        <v>9</v>
      </c>
      <c r="AN181" s="20">
        <f>AN182+AM181</f>
        <v>965</v>
      </c>
      <c r="AO181" s="37">
        <f>AL181*AN181</f>
        <v>240285000</v>
      </c>
      <c r="AP181" s="20"/>
    </row>
    <row r="182" spans="5:45">
      <c r="E182" s="71" t="s">
        <v>25</v>
      </c>
      <c r="G182" s="2" t="s">
        <v>6031</v>
      </c>
      <c r="H182" s="3">
        <v>15777944</v>
      </c>
      <c r="M182" s="357" t="s">
        <v>4627</v>
      </c>
      <c r="N182" s="1">
        <v>2250000</v>
      </c>
      <c r="O182" s="370" t="s">
        <v>5293</v>
      </c>
      <c r="P182" s="370">
        <v>50047</v>
      </c>
      <c r="Q182" s="18">
        <v>1406.14</v>
      </c>
      <c r="R182" s="18">
        <f t="shared" si="19"/>
        <v>70373088.579999998</v>
      </c>
      <c r="S182" s="395" t="s">
        <v>4975</v>
      </c>
      <c r="AA182" t="s">
        <v>25</v>
      </c>
      <c r="AJ182" s="11">
        <v>162</v>
      </c>
      <c r="AK182" s="3" t="s">
        <v>4886</v>
      </c>
      <c r="AL182" s="3">
        <v>65000</v>
      </c>
      <c r="AM182" s="11">
        <v>7</v>
      </c>
      <c r="AN182" s="20">
        <f>AN183+AM182</f>
        <v>956</v>
      </c>
      <c r="AO182" s="37">
        <f>AL182*AN182</f>
        <v>62140000</v>
      </c>
      <c r="AP182" s="20"/>
    </row>
    <row r="183" spans="5:45">
      <c r="E183" t="s">
        <v>25</v>
      </c>
      <c r="G183" s="2" t="s">
        <v>6038</v>
      </c>
      <c r="H183" s="3">
        <v>3585319.2317280001</v>
      </c>
      <c r="M183" s="357" t="s">
        <v>4636</v>
      </c>
      <c r="N183" s="1">
        <v>-2512200</v>
      </c>
      <c r="O183" s="370" t="s">
        <v>5294</v>
      </c>
      <c r="P183" s="370">
        <v>846</v>
      </c>
      <c r="Q183" s="18">
        <v>1441.6724569999999</v>
      </c>
      <c r="R183" s="18">
        <f t="shared" si="19"/>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9"/>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9"/>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9"/>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9"/>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9"/>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9"/>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9"/>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9"/>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9"/>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9"/>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9"/>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9"/>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9"/>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9"/>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9"/>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9"/>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9"/>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9"/>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9"/>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5: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5: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5: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5: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5: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5:48">
      <c r="E214" t="s">
        <v>25</v>
      </c>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5: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5: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5: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5: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5: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5: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5: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5: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5: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5: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6786</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6788</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6801</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6803</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6805</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6807</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6808</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6813</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6816</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6818</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6822</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6823</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6824</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6828</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6828</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6830</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6832</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6836</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6821</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6843</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6845</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6848</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6849</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6850</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6851</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6852</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6854</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6862</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6864</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6865</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6873</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6878</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6882</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6892</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6893</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6900</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6904</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6905</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6907</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SUM(B41:B63)</f>
        <v>14465422960.023256</v>
      </c>
      <c r="AO288" t="s">
        <v>25</v>
      </c>
    </row>
    <row r="289" spans="7:47">
      <c r="G289" s="354" t="s">
        <v>6908</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14587511818.961693</v>
      </c>
      <c r="AO289" t="s">
        <v>25</v>
      </c>
      <c r="AU289" t="s">
        <v>25</v>
      </c>
    </row>
    <row r="290" spans="7:47">
      <c r="G290" s="354" t="s">
        <v>6909</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6916</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14283253379.862919</v>
      </c>
      <c r="AP291" t="s">
        <v>25</v>
      </c>
    </row>
    <row r="292" spans="7:47">
      <c r="G292" s="354" t="s">
        <v>6918</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6929</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6780</v>
      </c>
      <c r="P446" s="370">
        <v>3891</v>
      </c>
      <c r="Q446" s="18">
        <v>2964.3332270000001</v>
      </c>
      <c r="R446" s="18">
        <f t="shared" si="57"/>
        <v>11534220.586257</v>
      </c>
      <c r="S446" s="370" t="s">
        <v>6781</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6786</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6787</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6801</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6803</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6805</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6780</v>
      </c>
      <c r="N452" s="1">
        <v>11534220.586257</v>
      </c>
      <c r="O452" s="370" t="s">
        <v>6807</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6786</v>
      </c>
      <c r="N453" s="1">
        <v>8677446.9972630013</v>
      </c>
      <c r="O453" s="370" t="s">
        <v>6808</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6787</v>
      </c>
      <c r="N454" s="1">
        <v>3889315.7145719999</v>
      </c>
      <c r="O454" s="370" t="s">
        <v>6808</v>
      </c>
      <c r="P454" s="370">
        <v>93740</v>
      </c>
      <c r="Q454" s="18">
        <v>3795</v>
      </c>
      <c r="R454" s="18">
        <f t="shared" si="57"/>
        <v>355743300</v>
      </c>
      <c r="S454" s="370" t="s">
        <v>6837</v>
      </c>
      <c r="AJ454" s="20">
        <v>156</v>
      </c>
      <c r="AK454" s="20" t="s">
        <v>5337</v>
      </c>
      <c r="AL454" s="37">
        <v>90000</v>
      </c>
      <c r="AM454" s="20">
        <v>0</v>
      </c>
      <c r="AN454" s="20">
        <f t="shared" ref="AN454:AN468" si="62">AM454+AN455</f>
        <v>287</v>
      </c>
      <c r="AO454" s="20">
        <f t="shared" ref="AO454:AO468" si="63">AL454*AN454</f>
        <v>25830000</v>
      </c>
      <c r="AP454" s="20"/>
    </row>
    <row r="455" spans="13:46">
      <c r="M455" s="357" t="s">
        <v>6801</v>
      </c>
      <c r="N455" s="1">
        <v>6760129.9060710007</v>
      </c>
      <c r="O455" s="370" t="s">
        <v>6808</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6803</v>
      </c>
      <c r="N456" s="1">
        <v>9916796.5079399999</v>
      </c>
      <c r="O456" s="370" t="s">
        <v>6813</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6805</v>
      </c>
      <c r="N457" s="1">
        <v>968734.90064999997</v>
      </c>
      <c r="O457" s="370" t="s">
        <v>6816</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6807</v>
      </c>
      <c r="N458" s="1">
        <v>761939.35763300001</v>
      </c>
      <c r="O458" s="370" t="s">
        <v>6818</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6808</v>
      </c>
      <c r="N459" s="1">
        <v>3631828.8870270001</v>
      </c>
      <c r="O459" s="370" t="s">
        <v>6822</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6813</v>
      </c>
      <c r="N460" s="1">
        <v>1797773.921844</v>
      </c>
      <c r="O460" s="370" t="s">
        <v>6823</v>
      </c>
      <c r="P460" s="370">
        <v>2384</v>
      </c>
      <c r="Q460" s="18">
        <v>3595.7232680000002</v>
      </c>
      <c r="R460" s="18">
        <f t="shared" si="57"/>
        <v>8572204.2709120009</v>
      </c>
      <c r="S460" s="370" t="s">
        <v>4975</v>
      </c>
      <c r="AA460" t="s">
        <v>6802</v>
      </c>
      <c r="AB460" t="s">
        <v>25</v>
      </c>
      <c r="AJ460" s="97">
        <v>162</v>
      </c>
      <c r="AK460" s="97" t="s">
        <v>5405</v>
      </c>
      <c r="AL460" s="131">
        <v>200000</v>
      </c>
      <c r="AM460" s="97">
        <v>7</v>
      </c>
      <c r="AN460" s="97">
        <f t="shared" si="62"/>
        <v>245</v>
      </c>
      <c r="AO460" s="97">
        <f t="shared" si="63"/>
        <v>49000000</v>
      </c>
      <c r="AP460" s="97"/>
    </row>
    <row r="461" spans="13:46">
      <c r="M461" s="357" t="s">
        <v>6816</v>
      </c>
      <c r="N461" s="1">
        <v>4297159.3427689997</v>
      </c>
      <c r="O461" s="370" t="s">
        <v>6823</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6818</v>
      </c>
      <c r="N462" s="1">
        <v>4765717.1413799999</v>
      </c>
      <c r="O462" s="370" t="s">
        <v>6824</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6822</v>
      </c>
      <c r="N463" s="1">
        <v>3715272.2289780001</v>
      </c>
      <c r="O463" s="370" t="s">
        <v>6828</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6823</v>
      </c>
      <c r="N464" s="18">
        <v>8572204.2709120009</v>
      </c>
      <c r="O464" s="370" t="s">
        <v>6828</v>
      </c>
      <c r="P464" s="370">
        <v>12078</v>
      </c>
      <c r="Q464" s="18">
        <v>3660.67461</v>
      </c>
      <c r="R464" s="18">
        <f t="shared" si="57"/>
        <v>44213627.939580001</v>
      </c>
      <c r="S464" s="370" t="s">
        <v>6829</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6824</v>
      </c>
      <c r="N465" s="18">
        <v>5003571.3628719999</v>
      </c>
      <c r="O465" s="370" t="s">
        <v>6830</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6828</v>
      </c>
      <c r="N466" s="18">
        <v>4813787.1121500004</v>
      </c>
      <c r="O466" s="370" t="s">
        <v>6832</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6828</v>
      </c>
      <c r="N467" s="18">
        <v>44213627.939580001</v>
      </c>
      <c r="O467" s="370" t="s">
        <v>6835</v>
      </c>
      <c r="P467" s="370">
        <v>269</v>
      </c>
      <c r="Q467" s="18">
        <v>3710</v>
      </c>
      <c r="R467" s="18">
        <f t="shared" si="57"/>
        <v>997990</v>
      </c>
      <c r="S467" s="370" t="s">
        <v>6837</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6830</v>
      </c>
      <c r="N468" s="18">
        <v>6396520.1381280003</v>
      </c>
      <c r="O468" s="370" t="s">
        <v>6836</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6832</v>
      </c>
      <c r="N469" s="18">
        <v>10752710.353308</v>
      </c>
      <c r="O469" s="370" t="s">
        <v>6821</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6836</v>
      </c>
      <c r="N470" s="18">
        <v>25378123.030598</v>
      </c>
      <c r="O470" s="370" t="s">
        <v>6843</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6821</v>
      </c>
      <c r="N471" s="1">
        <v>4844410.7196660005</v>
      </c>
      <c r="O471" s="370" t="s">
        <v>6845</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6843</v>
      </c>
      <c r="N472" s="1">
        <v>4641284</v>
      </c>
      <c r="O472" s="370" t="s">
        <v>6848</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6845</v>
      </c>
      <c r="N473" s="1">
        <v>2066743.6704459998</v>
      </c>
      <c r="O473" s="370" t="s">
        <v>6849</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6848</v>
      </c>
      <c r="N474" s="1">
        <v>1783900.3856240001</v>
      </c>
      <c r="O474" s="370" t="s">
        <v>6850</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6849</v>
      </c>
      <c r="N475" s="1">
        <v>2444730.4589760001</v>
      </c>
      <c r="O475" s="370" t="s">
        <v>6851</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6850</v>
      </c>
      <c r="N476" s="1">
        <v>11150477.068770001</v>
      </c>
      <c r="O476" s="370" t="s">
        <v>6852</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6851</v>
      </c>
      <c r="N477" s="1">
        <v>2431394.0135999997</v>
      </c>
      <c r="O477" s="370" t="s">
        <v>6854</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6852</v>
      </c>
      <c r="N478" s="1">
        <v>8445499.6301039997</v>
      </c>
      <c r="O478" s="370" t="s">
        <v>6862</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6854</v>
      </c>
      <c r="N479" s="1">
        <v>3605149.5994500001</v>
      </c>
      <c r="O479" s="370" t="s">
        <v>6864</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6862</v>
      </c>
      <c r="N480" s="1">
        <v>2648717.3756280001</v>
      </c>
      <c r="O480" s="370" t="s">
        <v>6865</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6864</v>
      </c>
      <c r="N481" s="1">
        <v>3140841.0248159999</v>
      </c>
      <c r="O481" s="370" t="s">
        <v>6873</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6865</v>
      </c>
      <c r="N482" s="1">
        <v>1401154.6340009999</v>
      </c>
      <c r="O482" s="370" t="s">
        <v>6878</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6873</v>
      </c>
      <c r="N483" s="1">
        <v>1465766.7556200002</v>
      </c>
      <c r="O483" s="189" t="s">
        <v>6878</v>
      </c>
      <c r="P483" s="189">
        <v>314</v>
      </c>
      <c r="Q483" s="190">
        <v>4665</v>
      </c>
      <c r="R483" s="190">
        <f t="shared" si="57"/>
        <v>1464810</v>
      </c>
      <c r="S483" s="189" t="s">
        <v>6879</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6878</v>
      </c>
      <c r="N484" s="1">
        <v>11000000</v>
      </c>
      <c r="O484" s="370" t="s">
        <v>6878</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6878</v>
      </c>
      <c r="N485" s="1">
        <v>19489152.504344001</v>
      </c>
      <c r="O485" s="370" t="s">
        <v>6882</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6883</v>
      </c>
      <c r="N486" s="1">
        <v>46017582.952047996</v>
      </c>
      <c r="O486" s="370" t="s">
        <v>6892</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6892</v>
      </c>
      <c r="N487" s="1">
        <v>7550796.2979680002</v>
      </c>
      <c r="O487" s="370" t="s">
        <v>6893</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6893</v>
      </c>
      <c r="N488" s="1">
        <v>1688454</v>
      </c>
      <c r="O488" s="370" t="s">
        <v>6900</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6900</v>
      </c>
      <c r="N489" s="1">
        <v>10876225.6142</v>
      </c>
      <c r="O489" s="370" t="s">
        <v>6904</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6904</v>
      </c>
      <c r="N490" s="1">
        <v>13024938.86954</v>
      </c>
      <c r="O490" s="370" t="s">
        <v>6905</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6905</v>
      </c>
      <c r="N491" s="1">
        <v>16923049.11036</v>
      </c>
      <c r="O491" s="370" t="s">
        <v>6907</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6907</v>
      </c>
      <c r="N492" s="1">
        <v>3356939.04</v>
      </c>
      <c r="O492" s="370" t="s">
        <v>6908</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6908</v>
      </c>
      <c r="N493" s="1">
        <v>30163522.767999999</v>
      </c>
      <c r="O493" s="370" t="s">
        <v>6909</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6909</v>
      </c>
      <c r="N494" s="1">
        <v>26097920.290260002</v>
      </c>
      <c r="O494" s="370" t="s">
        <v>6916</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6916</v>
      </c>
      <c r="N495" s="1">
        <v>13362052.444619998</v>
      </c>
      <c r="O495" s="370" t="s">
        <v>6918</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6918</v>
      </c>
      <c r="N496" s="1">
        <v>6971813.8000000007</v>
      </c>
      <c r="O496" s="370" t="s">
        <v>6929</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6929</v>
      </c>
      <c r="N497" s="1">
        <v>8908974.7799999993</v>
      </c>
      <c r="O497" s="370" t="s">
        <v>6933</v>
      </c>
      <c r="P497" s="370">
        <v>120</v>
      </c>
      <c r="Q497" s="18">
        <v>6076</v>
      </c>
      <c r="R497" s="18">
        <f t="shared" si="57"/>
        <v>729120</v>
      </c>
      <c r="S497" s="370" t="s">
        <v>6934</v>
      </c>
      <c r="AC497" t="s">
        <v>25</v>
      </c>
      <c r="AJ497" s="20">
        <v>217</v>
      </c>
      <c r="AK497" s="20" t="s">
        <v>6672</v>
      </c>
      <c r="AL497" s="37">
        <v>50000000</v>
      </c>
      <c r="AM497" s="20">
        <v>1</v>
      </c>
      <c r="AN497" s="20">
        <f t="shared" si="68"/>
        <v>57</v>
      </c>
      <c r="AO497" s="20">
        <f t="shared" si="69"/>
        <v>2850000000</v>
      </c>
      <c r="AP497" s="20" t="s">
        <v>5624</v>
      </c>
    </row>
    <row r="498" spans="13:46">
      <c r="M498" s="357" t="s">
        <v>6933</v>
      </c>
      <c r="N498" s="1">
        <v>-105576576</v>
      </c>
      <c r="O498" s="370" t="s">
        <v>6933</v>
      </c>
      <c r="P498" s="370">
        <v>-17376</v>
      </c>
      <c r="Q498" s="18">
        <v>6076</v>
      </c>
      <c r="R498" s="18">
        <f t="shared" si="57"/>
        <v>-105576576</v>
      </c>
      <c r="S498" s="370" t="s">
        <v>6936</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7072</v>
      </c>
      <c r="N499" s="18">
        <v>3096535.9948499999</v>
      </c>
      <c r="O499" s="370" t="s">
        <v>6939</v>
      </c>
      <c r="P499" s="370">
        <v>-804</v>
      </c>
      <c r="Q499" s="18">
        <v>6213</v>
      </c>
      <c r="R499" s="18">
        <f t="shared" si="57"/>
        <v>-4995252</v>
      </c>
      <c r="S499" s="370" t="s">
        <v>6940</v>
      </c>
      <c r="AD499" t="s">
        <v>25</v>
      </c>
      <c r="AJ499" s="20">
        <v>219</v>
      </c>
      <c r="AK499" s="20" t="s">
        <v>6678</v>
      </c>
      <c r="AL499" s="37">
        <v>25000000</v>
      </c>
      <c r="AM499" s="20">
        <v>25</v>
      </c>
      <c r="AN499" s="20">
        <f t="shared" si="68"/>
        <v>55</v>
      </c>
      <c r="AO499" s="20">
        <f t="shared" si="69"/>
        <v>1375000000</v>
      </c>
      <c r="AP499" s="20" t="s">
        <v>5624</v>
      </c>
    </row>
    <row r="500" spans="13:46">
      <c r="M500" s="357" t="s">
        <v>7074</v>
      </c>
      <c r="N500" s="18">
        <v>5999026.1866499996</v>
      </c>
      <c r="O500" s="189" t="s">
        <v>7029</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7038</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7038</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7072</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7074</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SUM(B29:B39)</f>
        <v>9102509154</v>
      </c>
    </row>
    <row r="516" spans="13:42">
      <c r="O516" s="143">
        <f>H17/P513</f>
        <v>5712.489436767295</v>
      </c>
      <c r="P516" s="35"/>
      <c r="Q516" s="35"/>
      <c r="R516" s="35"/>
      <c r="S516" s="35" t="s">
        <v>25</v>
      </c>
      <c r="T516" t="s">
        <v>25</v>
      </c>
      <c r="AB516" t="s">
        <v>25</v>
      </c>
      <c r="AK516" t="s">
        <v>4037</v>
      </c>
      <c r="AL516" s="7">
        <f>AL515-AL511</f>
        <v>9042497217.8358192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8938139485.6303463</v>
      </c>
      <c r="AO518" t="s">
        <v>25</v>
      </c>
      <c r="AP518" t="s">
        <v>25</v>
      </c>
    </row>
    <row r="519" spans="13:42">
      <c r="O519" s="76"/>
      <c r="P519" s="1">
        <v>6000000</v>
      </c>
      <c r="Q519" s="35">
        <f>P519/O516</f>
        <v>1050.330169782407</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26251550982.023254</v>
      </c>
      <c r="Q529" s="26">
        <f>P529-O529</f>
        <v>24149171309.323215</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33"/>
  <sheetViews>
    <sheetView zoomScale="85" zoomScaleNormal="85" workbookViewId="0">
      <selection activeCell="G12" sqref="G12:K1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7068</v>
      </c>
      <c r="B1" s="225" t="s">
        <v>4134</v>
      </c>
      <c r="C1" s="224">
        <v>2150</v>
      </c>
      <c r="D1" s="302">
        <v>4924.7</v>
      </c>
      <c r="E1" s="438" t="s">
        <v>4542</v>
      </c>
      <c r="F1" s="439">
        <v>533.79999999999995</v>
      </c>
      <c r="G1" s="499">
        <f>C1*D1*0.9912/(F1*1.003631981)</f>
        <v>19589.640748297974</v>
      </c>
      <c r="H1" s="440">
        <f>C1/F1</f>
        <v>4.0277257399775204</v>
      </c>
      <c r="I1" s="498">
        <f>$O$22/$O$24</f>
        <v>3.9792060491493384</v>
      </c>
      <c r="J1" s="440">
        <f t="shared" ref="J1" si="0">I1/H1</f>
        <v>0.98795357629577507</v>
      </c>
      <c r="K1" s="441">
        <f t="shared" ref="K1" si="1">(1/J1-1.0256)*100</f>
        <v>-1.3406690523463993</v>
      </c>
      <c r="L1" s="519"/>
      <c r="M1" s="347"/>
      <c r="O1" s="589" t="s">
        <v>7071</v>
      </c>
      <c r="P1">
        <v>70</v>
      </c>
    </row>
    <row r="2" spans="1:25" ht="18.75">
      <c r="A2" s="229" t="s">
        <v>7079</v>
      </c>
      <c r="B2" s="225" t="s">
        <v>4134</v>
      </c>
      <c r="C2" s="224">
        <v>2055</v>
      </c>
      <c r="D2" s="302">
        <v>130571</v>
      </c>
      <c r="E2" s="438" t="s">
        <v>4542</v>
      </c>
      <c r="F2" s="439">
        <v>530</v>
      </c>
      <c r="G2" s="499">
        <f>C2*D2*0.9912/(F2*1.003631981)</f>
        <v>499999.40606470883</v>
      </c>
      <c r="H2" s="440">
        <f>C2/F2</f>
        <v>3.8773584905660377</v>
      </c>
      <c r="I2" s="440">
        <f>$O$22/$O$24</f>
        <v>3.9792060491493384</v>
      </c>
      <c r="J2" s="440">
        <f t="shared" ref="J2" si="2">I2/H2</f>
        <v>1.0262672535518975</v>
      </c>
      <c r="K2" s="438">
        <f t="shared" ref="K2" si="3">(1/J2-1.0256)*100</f>
        <v>-5.11949446511003</v>
      </c>
      <c r="L2" s="519"/>
      <c r="M2" s="582"/>
      <c r="O2" s="589" t="s">
        <v>4163</v>
      </c>
      <c r="P2">
        <v>860</v>
      </c>
      <c r="R2" s="7"/>
      <c r="S2" s="358" t="s">
        <v>6784</v>
      </c>
    </row>
    <row r="3" spans="1:25" ht="18.75">
      <c r="A3" s="229" t="s">
        <v>7082</v>
      </c>
      <c r="B3" s="225" t="s">
        <v>4134</v>
      </c>
      <c r="C3" s="224">
        <v>2093.3000000000002</v>
      </c>
      <c r="D3" s="302">
        <v>135722</v>
      </c>
      <c r="E3" s="438" t="s">
        <v>4542</v>
      </c>
      <c r="F3" s="439">
        <v>529</v>
      </c>
      <c r="G3" s="499">
        <f>C3*D3*0.9912/(F3*1.003631981)</f>
        <v>530411.40502135758</v>
      </c>
      <c r="H3" s="440">
        <f>C3/F3</f>
        <v>3.9570888468809078</v>
      </c>
      <c r="I3" s="440">
        <f>$O$22/$O$24</f>
        <v>3.9792060491493384</v>
      </c>
      <c r="J3" s="440">
        <f t="shared" ref="J3" si="4">I3/H3</f>
        <v>1.0055892609754931</v>
      </c>
      <c r="K3" s="438">
        <f t="shared" ref="K3" si="5">(1/J3-1.0256)*100</f>
        <v>-3.115819477434667</v>
      </c>
      <c r="L3" s="519"/>
      <c r="M3" s="582"/>
      <c r="N3" s="343"/>
      <c r="O3" s="589" t="s">
        <v>6937</v>
      </c>
      <c r="P3">
        <f>P1/P2</f>
        <v>8.1395348837209308E-2</v>
      </c>
    </row>
    <row r="4" spans="1:25" ht="18.75">
      <c r="A4" s="229" t="s">
        <v>7082</v>
      </c>
      <c r="B4" s="225" t="s">
        <v>4134</v>
      </c>
      <c r="C4" s="224">
        <v>2106.8000000000002</v>
      </c>
      <c r="D4" s="302">
        <v>16463</v>
      </c>
      <c r="E4" s="438" t="s">
        <v>4542</v>
      </c>
      <c r="F4" s="439">
        <v>533</v>
      </c>
      <c r="G4" s="499">
        <f>C4*D4*0.9912/(F4*1.003631981)</f>
        <v>64267.57017558696</v>
      </c>
      <c r="H4" s="440">
        <f>C4/F4</f>
        <v>3.9527204502814262</v>
      </c>
      <c r="I4" s="440">
        <f>$O$22/$O$24</f>
        <v>3.9792060491493384</v>
      </c>
      <c r="J4" s="440">
        <f t="shared" ref="J4" si="6">I4/H4</f>
        <v>1.0067006000553433</v>
      </c>
      <c r="K4" s="438">
        <f t="shared" ref="K4" si="7">(1/J4-1.0256)*100</f>
        <v>-3.2256000855641731</v>
      </c>
      <c r="L4" s="519"/>
    </row>
    <row r="5" spans="1:25" ht="21">
      <c r="A5" s="229"/>
      <c r="B5" s="225"/>
      <c r="C5" s="224"/>
      <c r="D5" s="302"/>
      <c r="E5" s="438"/>
      <c r="F5" s="439"/>
      <c r="G5" s="499"/>
      <c r="H5" s="440"/>
      <c r="I5" s="440"/>
      <c r="J5" s="440"/>
      <c r="K5" s="438"/>
      <c r="L5" s="519"/>
      <c r="M5" s="597"/>
      <c r="N5" s="508" t="s">
        <v>7066</v>
      </c>
      <c r="O5" s="509">
        <v>265</v>
      </c>
    </row>
    <row r="6" spans="1:25" ht="21">
      <c r="M6" s="597"/>
      <c r="N6" s="508" t="s">
        <v>7065</v>
      </c>
      <c r="O6" s="509">
        <v>125</v>
      </c>
    </row>
    <row r="7" spans="1:25" ht="21.75" thickBot="1">
      <c r="A7" s="597"/>
      <c r="B7" s="597"/>
      <c r="C7" s="597"/>
      <c r="D7" s="597"/>
      <c r="E7" s="597"/>
      <c r="F7" s="597"/>
      <c r="G7" s="597"/>
      <c r="H7" s="597"/>
      <c r="I7" s="597"/>
      <c r="J7" s="597"/>
      <c r="K7" s="597"/>
      <c r="L7" s="597"/>
      <c r="M7" s="347"/>
      <c r="N7" s="508" t="s">
        <v>7055</v>
      </c>
      <c r="O7" s="509">
        <v>4.5</v>
      </c>
      <c r="S7" t="s">
        <v>6608</v>
      </c>
    </row>
    <row r="8" spans="1:25" ht="21">
      <c r="A8" s="597"/>
      <c r="B8" s="597"/>
      <c r="C8" s="597"/>
      <c r="D8" s="597"/>
      <c r="E8" s="597"/>
      <c r="F8" s="597"/>
      <c r="G8" s="597"/>
      <c r="H8" s="597"/>
      <c r="I8" s="597"/>
      <c r="J8" s="597"/>
      <c r="K8" s="597"/>
      <c r="L8" s="597"/>
      <c r="M8" s="347"/>
      <c r="N8" s="508" t="s">
        <v>7054</v>
      </c>
      <c r="O8" s="509">
        <v>1.7</v>
      </c>
      <c r="P8" s="324" t="s">
        <v>6810</v>
      </c>
      <c r="Q8" s="325">
        <f>Q10*Q11*1.003631981/(Q9*0.9912)</f>
        <v>114969.8578087394</v>
      </c>
      <c r="W8" t="s">
        <v>25</v>
      </c>
    </row>
    <row r="9" spans="1:25" ht="21">
      <c r="A9" s="600" t="s">
        <v>7079</v>
      </c>
      <c r="B9" s="369" t="s">
        <v>5139</v>
      </c>
      <c r="C9" s="226">
        <v>793</v>
      </c>
      <c r="D9" s="372">
        <v>763462</v>
      </c>
      <c r="E9" s="601" t="s">
        <v>4134</v>
      </c>
      <c r="F9" s="602">
        <v>2055</v>
      </c>
      <c r="G9" s="302">
        <f>C9*D9*0.9912/(F9*1.003631981)</f>
        <v>290961.54113262735</v>
      </c>
      <c r="H9" s="527">
        <f>C9/F9</f>
        <v>0.3858880778588808</v>
      </c>
      <c r="I9" s="603">
        <f>$O$23/$O$22</f>
        <v>0.4058443351930619</v>
      </c>
      <c r="J9" s="527">
        <f t="shared" ref="J9" si="8">I9/H9</f>
        <v>1.0517151435330923</v>
      </c>
      <c r="K9" s="604">
        <f t="shared" ref="K9" si="9">(1/J9-1.0256)*100</f>
        <v>-7.4772196341456487</v>
      </c>
      <c r="L9" s="519"/>
      <c r="M9" s="347"/>
      <c r="N9" s="516" t="s">
        <v>6923</v>
      </c>
      <c r="O9" s="517">
        <v>0.4</v>
      </c>
      <c r="P9" s="326" t="s">
        <v>6809</v>
      </c>
      <c r="Q9" s="327">
        <v>2668</v>
      </c>
    </row>
    <row r="10" spans="1:25" ht="21">
      <c r="A10" s="600" t="s">
        <v>7079</v>
      </c>
      <c r="B10" s="369" t="s">
        <v>5139</v>
      </c>
      <c r="C10" s="226">
        <v>793</v>
      </c>
      <c r="D10" s="372">
        <v>296056</v>
      </c>
      <c r="E10" s="601" t="s">
        <v>4134</v>
      </c>
      <c r="F10" s="602">
        <v>2055</v>
      </c>
      <c r="G10" s="302">
        <f>C10*D10*0.9912/(F10*1.003631981)</f>
        <v>112829.33534551966</v>
      </c>
      <c r="H10" s="527">
        <f>C10/F10</f>
        <v>0.3858880778588808</v>
      </c>
      <c r="I10" s="603">
        <f>$O$23/$O$22</f>
        <v>0.4058443351930619</v>
      </c>
      <c r="J10" s="527">
        <f t="shared" ref="J10" si="10">I10/H10</f>
        <v>1.0517151435330923</v>
      </c>
      <c r="K10" s="604">
        <f t="shared" ref="K10" si="11">(1/J10-1.0256)*100</f>
        <v>-7.4772196341456487</v>
      </c>
      <c r="L10" s="519"/>
      <c r="M10" s="347"/>
      <c r="N10" s="516" t="s">
        <v>7037</v>
      </c>
      <c r="O10" s="517">
        <v>0.1</v>
      </c>
      <c r="P10" s="326" t="s">
        <v>6811</v>
      </c>
      <c r="Q10" s="327">
        <v>765000</v>
      </c>
    </row>
    <row r="11" spans="1:25" ht="21.75" thickBot="1">
      <c r="A11" s="600" t="s">
        <v>7082</v>
      </c>
      <c r="B11" s="369" t="s">
        <v>5139</v>
      </c>
      <c r="C11" s="226">
        <v>790</v>
      </c>
      <c r="D11" s="372">
        <v>949989</v>
      </c>
      <c r="E11" s="601" t="s">
        <v>4134</v>
      </c>
      <c r="F11" s="602">
        <v>2093.3000000000002</v>
      </c>
      <c r="G11" s="302">
        <f>C11*D11*0.9912/(F11*1.003631981)</f>
        <v>354079.67342757504</v>
      </c>
      <c r="H11" s="527">
        <f>C11/F11</f>
        <v>0.37739454449911619</v>
      </c>
      <c r="I11" s="603">
        <f>$O$23/$O$22</f>
        <v>0.4058443351930619</v>
      </c>
      <c r="J11" s="527">
        <f t="shared" ref="J11" si="12">I11/H11</f>
        <v>1.0753847428602994</v>
      </c>
      <c r="K11" s="604">
        <f t="shared" ref="K11" si="13">(1/J11-1.0256)*100</f>
        <v>-9.5700253291479456</v>
      </c>
      <c r="L11" s="519"/>
      <c r="M11" s="347"/>
      <c r="N11" s="514" t="s">
        <v>7051</v>
      </c>
      <c r="O11" s="313">
        <v>1.9</v>
      </c>
      <c r="P11" s="328" t="s">
        <v>6812</v>
      </c>
      <c r="Q11" s="329">
        <v>396</v>
      </c>
    </row>
    <row r="12" spans="1:25" ht="21">
      <c r="A12" s="600" t="s">
        <v>7082</v>
      </c>
      <c r="B12" s="369" t="s">
        <v>5139</v>
      </c>
      <c r="C12" s="226">
        <v>790</v>
      </c>
      <c r="D12" s="372">
        <v>107553</v>
      </c>
      <c r="E12" s="601" t="s">
        <v>4134</v>
      </c>
      <c r="F12" s="602">
        <v>2093</v>
      </c>
      <c r="G12" s="302">
        <f>C12*D12*0.9912/(F12*1.003631981)</f>
        <v>40092.874385141586</v>
      </c>
      <c r="H12" s="527">
        <f>C12/F12</f>
        <v>0.37744863831820352</v>
      </c>
      <c r="I12" s="603">
        <f>$O$23/$O$22</f>
        <v>0.4058443351930619</v>
      </c>
      <c r="J12" s="527">
        <f t="shared" ref="J12" si="14">I12/H12</f>
        <v>1.0752306247583274</v>
      </c>
      <c r="K12" s="604">
        <f t="shared" ref="K12" si="15">(1/J12-1.0256)*100</f>
        <v>-9.5566966180150033</v>
      </c>
      <c r="L12" s="519"/>
      <c r="M12" s="347"/>
      <c r="N12" s="514" t="s">
        <v>7026</v>
      </c>
      <c r="O12" s="313">
        <v>1.9</v>
      </c>
    </row>
    <row r="13" spans="1:25" ht="21">
      <c r="A13" s="229"/>
      <c r="B13" s="225"/>
      <c r="C13" s="224"/>
      <c r="D13" s="302"/>
      <c r="E13" s="438"/>
      <c r="F13" s="439"/>
      <c r="G13" s="499"/>
      <c r="H13" s="440"/>
      <c r="I13" s="498"/>
      <c r="J13" s="440"/>
      <c r="K13" s="441"/>
      <c r="L13" s="519"/>
      <c r="M13" s="347"/>
      <c r="N13" s="514" t="s">
        <v>7062</v>
      </c>
      <c r="O13" s="313">
        <v>3</v>
      </c>
    </row>
    <row r="14" spans="1:25" ht="21">
      <c r="A14" s="229"/>
      <c r="B14" s="225"/>
      <c r="C14" s="224"/>
      <c r="D14" s="302"/>
      <c r="E14" s="438"/>
      <c r="F14" s="439"/>
      <c r="G14" s="499"/>
      <c r="H14" s="440"/>
      <c r="I14" s="498"/>
      <c r="J14" s="440"/>
      <c r="K14" s="441"/>
      <c r="L14" s="519"/>
      <c r="M14" s="347"/>
      <c r="N14" s="514" t="s">
        <v>6947</v>
      </c>
      <c r="O14" s="313">
        <v>1.3</v>
      </c>
      <c r="U14" s="497"/>
      <c r="Y14" t="s">
        <v>25</v>
      </c>
    </row>
    <row r="15" spans="1:25" ht="21">
      <c r="A15" s="229"/>
      <c r="B15" s="225"/>
      <c r="C15" s="224"/>
      <c r="D15" s="302"/>
      <c r="E15" s="438"/>
      <c r="F15" s="439"/>
      <c r="G15" s="499"/>
      <c r="H15" s="440"/>
      <c r="I15" s="498"/>
      <c r="J15" s="440"/>
      <c r="K15" s="441"/>
      <c r="L15" s="519"/>
      <c r="M15" s="347"/>
      <c r="N15" s="333" t="s">
        <v>6926</v>
      </c>
      <c r="O15" s="314">
        <v>15</v>
      </c>
      <c r="U15" s="497"/>
      <c r="W15" t="s">
        <v>25</v>
      </c>
    </row>
    <row r="16" spans="1:25" ht="18.75">
      <c r="A16" s="229"/>
      <c r="B16" s="225"/>
      <c r="C16" s="224"/>
      <c r="D16" s="302"/>
      <c r="E16" s="438"/>
      <c r="F16" s="439"/>
      <c r="G16" s="499"/>
      <c r="H16" s="440"/>
      <c r="I16" s="498"/>
      <c r="J16" s="440"/>
      <c r="K16" s="441"/>
      <c r="L16" s="519"/>
      <c r="M16" s="347"/>
      <c r="N16" s="503" t="s">
        <v>6898</v>
      </c>
      <c r="O16" s="503">
        <v>10</v>
      </c>
      <c r="S16" s="368"/>
      <c r="T16" s="368"/>
      <c r="W16" t="s">
        <v>25</v>
      </c>
    </row>
    <row r="17" spans="1:28" ht="23.25">
      <c r="A17" s="229"/>
      <c r="B17" s="225"/>
      <c r="C17" s="224"/>
      <c r="D17" s="302"/>
      <c r="E17" s="438"/>
      <c r="F17" s="439"/>
      <c r="G17" s="499"/>
      <c r="H17" s="440"/>
      <c r="I17" s="498"/>
      <c r="J17" s="440"/>
      <c r="K17" s="441"/>
      <c r="L17" s="519"/>
      <c r="M17" s="347"/>
      <c r="N17" s="390" t="s">
        <v>6899</v>
      </c>
      <c r="O17" s="577">
        <v>1</v>
      </c>
      <c r="P17" s="331">
        <v>192625</v>
      </c>
      <c r="Q17" s="331">
        <v>476181</v>
      </c>
      <c r="U17">
        <v>11211</v>
      </c>
      <c r="V17">
        <f>U17*Q17/P17</f>
        <v>27714.290414016872</v>
      </c>
    </row>
    <row r="18" spans="1:28" ht="21">
      <c r="A18" s="229"/>
      <c r="B18" s="225"/>
      <c r="C18" s="224"/>
      <c r="D18" s="302"/>
      <c r="E18" s="438"/>
      <c r="F18" s="439"/>
      <c r="G18" s="499"/>
      <c r="H18" s="440"/>
      <c r="I18" s="498"/>
      <c r="J18" s="440"/>
      <c r="K18" s="441"/>
      <c r="L18" s="519"/>
      <c r="M18" s="347"/>
      <c r="N18" s="511" t="s">
        <v>6921</v>
      </c>
      <c r="O18" s="512">
        <v>2130</v>
      </c>
      <c r="P18" s="331">
        <f>P17*Q18/Q17</f>
        <v>158155.80393799837</v>
      </c>
      <c r="Q18" s="331">
        <v>390971</v>
      </c>
      <c r="U18" s="368"/>
      <c r="V18" s="368"/>
      <c r="W18" s="548"/>
      <c r="Y18" t="s">
        <v>25</v>
      </c>
    </row>
    <row r="19" spans="1:28" ht="21">
      <c r="A19" s="229"/>
      <c r="B19" s="225"/>
      <c r="C19" s="224"/>
      <c r="D19" s="302"/>
      <c r="E19" s="438"/>
      <c r="F19" s="439"/>
      <c r="G19" s="499"/>
      <c r="H19" s="440"/>
      <c r="I19" s="498"/>
      <c r="J19" s="440"/>
      <c r="K19" s="441"/>
      <c r="L19" s="519"/>
      <c r="M19" s="347"/>
      <c r="N19" s="508" t="s">
        <v>6920</v>
      </c>
      <c r="O19" s="508">
        <v>312</v>
      </c>
      <c r="P19" s="331">
        <f>P17-P18</f>
        <v>34469.196062001633</v>
      </c>
      <c r="Q19" s="331">
        <f>Q17-Q18</f>
        <v>85210</v>
      </c>
      <c r="U19" s="368"/>
      <c r="V19" s="368"/>
      <c r="W19" s="529">
        <v>930950</v>
      </c>
      <c r="X19" s="529">
        <v>1849691</v>
      </c>
      <c r="Y19" s="529">
        <v>708000</v>
      </c>
      <c r="Z19" s="23" t="s">
        <v>4134</v>
      </c>
      <c r="AA19" s="23"/>
    </row>
    <row r="20" spans="1:28" ht="21">
      <c r="A20" s="229"/>
      <c r="B20" s="225"/>
      <c r="C20" s="224"/>
      <c r="D20" s="302"/>
      <c r="E20" s="438"/>
      <c r="F20" s="439"/>
      <c r="G20" s="499"/>
      <c r="H20" s="440"/>
      <c r="I20" s="498"/>
      <c r="J20" s="440"/>
      <c r="K20" s="441"/>
      <c r="L20" s="519"/>
      <c r="M20" s="347"/>
      <c r="N20" s="333" t="s">
        <v>5594</v>
      </c>
      <c r="O20" s="333">
        <v>129</v>
      </c>
      <c r="Q20" s="368"/>
      <c r="S20" s="358">
        <f>O25*(1+20/81.5)+215-2000/81.5</f>
        <v>2515.6196319018404</v>
      </c>
      <c r="T20" s="497"/>
      <c r="U20" s="368"/>
      <c r="V20" s="368"/>
      <c r="W20" s="529">
        <f>W19*X20/X19</f>
        <v>578556.49717514124</v>
      </c>
      <c r="X20" s="529">
        <f>X19*Y20/Y19</f>
        <v>1149525.4802259887</v>
      </c>
      <c r="Y20" s="529">
        <v>440000</v>
      </c>
      <c r="Z20" s="23">
        <v>1800000</v>
      </c>
      <c r="AA20" s="23">
        <v>2751</v>
      </c>
      <c r="AB20" s="9">
        <f>AA20/AA21</f>
        <v>17.992151733158927</v>
      </c>
    </row>
    <row r="21" spans="1:28" ht="21">
      <c r="A21" s="229"/>
      <c r="B21" s="225"/>
      <c r="C21" s="224"/>
      <c r="D21" s="302"/>
      <c r="E21" s="438"/>
      <c r="F21" s="439"/>
      <c r="G21" s="499"/>
      <c r="H21" s="440"/>
      <c r="I21" s="498"/>
      <c r="J21" s="440"/>
      <c r="K21" s="441"/>
      <c r="L21" s="519"/>
      <c r="M21" s="347"/>
      <c r="N21" s="501" t="s">
        <v>6891</v>
      </c>
      <c r="O21" s="578">
        <v>1129</v>
      </c>
      <c r="Q21" s="25"/>
      <c r="S21" s="497"/>
      <c r="T21" s="497"/>
      <c r="U21" s="356" t="s">
        <v>25</v>
      </c>
      <c r="W21" s="529">
        <f>W19-W20</f>
        <v>352393.50282485876</v>
      </c>
      <c r="X21" s="529"/>
      <c r="Y21" s="529">
        <f>Y19-Y20</f>
        <v>268000</v>
      </c>
      <c r="Z21" s="23" t="s">
        <v>5594</v>
      </c>
      <c r="AA21" s="23">
        <v>152.9</v>
      </c>
      <c r="AB21" s="9">
        <f>AB20*1.025*O20</f>
        <v>2379.0122629169391</v>
      </c>
    </row>
    <row r="22" spans="1:28" ht="21">
      <c r="A22" s="229"/>
      <c r="B22" s="225"/>
      <c r="C22" s="224"/>
      <c r="D22" s="302"/>
      <c r="E22" s="438"/>
      <c r="F22" s="439"/>
      <c r="G22" s="499"/>
      <c r="H22" s="440"/>
      <c r="I22" s="498"/>
      <c r="J22" s="440"/>
      <c r="K22" s="441"/>
      <c r="L22" s="519"/>
      <c r="M22" s="347"/>
      <c r="N22" s="303" t="s">
        <v>4134</v>
      </c>
      <c r="O22" s="579">
        <v>2105</v>
      </c>
      <c r="S22" s="497"/>
      <c r="T22" s="497"/>
      <c r="V22" s="368"/>
      <c r="Y22" s="585"/>
      <c r="Z22" s="456"/>
      <c r="AA22" s="456"/>
      <c r="AB22" s="456"/>
    </row>
    <row r="23" spans="1:28" ht="21">
      <c r="A23" s="229"/>
      <c r="B23" s="225"/>
      <c r="C23" s="224"/>
      <c r="D23" s="302"/>
      <c r="E23" s="438"/>
      <c r="F23" s="439"/>
      <c r="G23" s="499"/>
      <c r="H23" s="440"/>
      <c r="I23" s="498"/>
      <c r="J23" s="440"/>
      <c r="K23" s="441"/>
      <c r="L23" s="519"/>
      <c r="M23" s="347"/>
      <c r="N23" s="304" t="s">
        <v>5139</v>
      </c>
      <c r="O23" s="598">
        <f>P23*(1+P3)</f>
        <v>854.30232558139528</v>
      </c>
      <c r="P23" s="598">
        <v>790</v>
      </c>
      <c r="Q23" s="358"/>
      <c r="S23" s="354">
        <v>63932.799498746863</v>
      </c>
      <c r="T23" s="354">
        <f>S23*O22*1.003632/(O30*0.9912)</f>
        <v>8309.9449452558965</v>
      </c>
      <c r="U23" s="357" t="s">
        <v>4716</v>
      </c>
      <c r="V23" s="357"/>
      <c r="W23" s="357"/>
      <c r="Y23" s="456"/>
      <c r="Z23" s="456"/>
      <c r="AA23" s="456"/>
      <c r="AB23" s="456"/>
    </row>
    <row r="24" spans="1:28" ht="21">
      <c r="A24" s="229"/>
      <c r="B24" s="225"/>
      <c r="C24" s="224"/>
      <c r="D24" s="302"/>
      <c r="E24" s="438"/>
      <c r="F24" s="439"/>
      <c r="G24" s="499"/>
      <c r="H24" s="440"/>
      <c r="I24" s="498"/>
      <c r="J24" s="440"/>
      <c r="K24" s="441"/>
      <c r="L24" s="519"/>
      <c r="M24" s="347"/>
      <c r="N24" s="312" t="s">
        <v>4542</v>
      </c>
      <c r="O24" s="312">
        <v>529</v>
      </c>
      <c r="Q24" t="s">
        <v>25</v>
      </c>
      <c r="S24" s="354">
        <v>238071</v>
      </c>
      <c r="T24" s="354">
        <f>S24*O24*1.003632/(O30*0.9912)</f>
        <v>7776.5056659038628</v>
      </c>
      <c r="U24" s="357">
        <v>16320</v>
      </c>
      <c r="V24" s="357">
        <f>U24*1.0127</f>
        <v>16527.263999999999</v>
      </c>
      <c r="W24" s="357">
        <v>6492</v>
      </c>
      <c r="Y24" s="456"/>
      <c r="Z24" s="456"/>
      <c r="AA24" s="456"/>
      <c r="AB24" s="456"/>
    </row>
    <row r="25" spans="1:28" ht="21">
      <c r="A25" s="229"/>
      <c r="B25" s="225"/>
      <c r="C25" s="224"/>
      <c r="D25" s="302"/>
      <c r="E25" s="438"/>
      <c r="F25" s="439"/>
      <c r="G25" s="499"/>
      <c r="H25" s="440"/>
      <c r="I25" s="498"/>
      <c r="J25" s="440"/>
      <c r="K25" s="441"/>
      <c r="L25" s="519"/>
      <c r="M25" s="347"/>
      <c r="N25" s="314" t="s">
        <v>5592</v>
      </c>
      <c r="O25" s="314">
        <v>1867</v>
      </c>
    </row>
    <row r="26" spans="1:28" ht="21">
      <c r="A26" s="229"/>
      <c r="B26" s="225"/>
      <c r="C26" s="224"/>
      <c r="D26" s="302"/>
      <c r="E26" s="438"/>
      <c r="F26" s="439"/>
      <c r="G26" s="499"/>
      <c r="H26" s="440"/>
      <c r="I26" s="498"/>
      <c r="J26" s="440"/>
      <c r="K26" s="441"/>
      <c r="L26" s="519"/>
      <c r="M26" s="347"/>
      <c r="N26" s="314" t="s">
        <v>6814</v>
      </c>
      <c r="O26" s="314">
        <v>18670</v>
      </c>
      <c r="Q26" s="63" t="s">
        <v>869</v>
      </c>
      <c r="R26" s="63">
        <v>2200</v>
      </c>
      <c r="S26" s="63">
        <f>R26/0.9912</f>
        <v>2219.5318805488296</v>
      </c>
    </row>
    <row r="27" spans="1:28" ht="23.25">
      <c r="A27" s="229"/>
      <c r="B27" s="225"/>
      <c r="C27" s="224"/>
      <c r="D27" s="302"/>
      <c r="E27" s="438"/>
      <c r="F27" s="439"/>
      <c r="G27" s="499"/>
      <c r="H27" s="440"/>
      <c r="I27" s="498"/>
      <c r="J27" s="440"/>
      <c r="K27" s="441"/>
      <c r="L27" s="519"/>
      <c r="M27" s="347"/>
      <c r="N27" s="311" t="s">
        <v>6831</v>
      </c>
      <c r="O27" s="580">
        <v>14635</v>
      </c>
      <c r="Q27" s="63" t="s">
        <v>61</v>
      </c>
      <c r="R27" s="63">
        <v>21144</v>
      </c>
      <c r="S27" s="63">
        <f>R27/1.003631981</f>
        <v>21067.483300933192</v>
      </c>
    </row>
    <row r="28" spans="1:28" ht="26.25">
      <c r="A28" s="229"/>
      <c r="B28" s="225"/>
      <c r="C28" s="224"/>
      <c r="D28" s="302"/>
      <c r="E28" s="438"/>
      <c r="F28" s="439"/>
      <c r="G28" s="499"/>
      <c r="H28" s="440"/>
      <c r="I28" s="498"/>
      <c r="J28" s="440"/>
      <c r="K28" s="441"/>
      <c r="L28" s="519"/>
      <c r="M28" s="347"/>
      <c r="N28" s="344" t="s">
        <v>5153</v>
      </c>
      <c r="O28" s="504">
        <v>222.8</v>
      </c>
      <c r="Q28" s="63" t="s">
        <v>6154</v>
      </c>
      <c r="R28" s="63">
        <v>14984</v>
      </c>
      <c r="S28" s="63">
        <f>R28*0.9912/1.003631981</f>
        <v>14798.393316643422</v>
      </c>
    </row>
    <row r="29" spans="1:28" ht="26.25">
      <c r="A29" s="229"/>
      <c r="B29" s="225"/>
      <c r="C29" s="224"/>
      <c r="D29" s="302"/>
      <c r="E29" s="438"/>
      <c r="F29" s="439"/>
      <c r="G29" s="499"/>
      <c r="H29" s="440"/>
      <c r="I29" s="498"/>
      <c r="J29" s="440"/>
      <c r="K29" s="441"/>
      <c r="L29" s="519"/>
      <c r="M29" s="347"/>
      <c r="N29" s="344" t="s">
        <v>4400</v>
      </c>
      <c r="O29" s="504">
        <v>1162</v>
      </c>
      <c r="Q29" s="63" t="s">
        <v>1004</v>
      </c>
      <c r="R29" s="63">
        <v>1155794</v>
      </c>
      <c r="S29" s="63">
        <f>R29/1.00125</f>
        <v>1154351.0611735331</v>
      </c>
    </row>
    <row r="30" spans="1:28" ht="21">
      <c r="A30" s="229"/>
      <c r="B30" s="225"/>
      <c r="C30" s="224"/>
      <c r="D30" s="302"/>
      <c r="E30" s="438"/>
      <c r="F30" s="439" t="s">
        <v>25</v>
      </c>
      <c r="G30" s="499"/>
      <c r="H30" s="440" t="s">
        <v>25</v>
      </c>
      <c r="I30" s="498"/>
      <c r="J30" s="440"/>
      <c r="K30" s="441"/>
      <c r="L30" s="519"/>
      <c r="M30" s="347"/>
      <c r="N30" s="314" t="s">
        <v>4716</v>
      </c>
      <c r="O30" s="314">
        <v>16398</v>
      </c>
    </row>
    <row r="31" spans="1:28" ht="21">
      <c r="A31" s="229"/>
      <c r="B31" s="225"/>
      <c r="C31" s="224"/>
      <c r="D31" s="302"/>
      <c r="E31" s="438"/>
      <c r="F31" s="439"/>
      <c r="G31" s="499"/>
      <c r="H31" s="440"/>
      <c r="I31" s="498"/>
      <c r="J31" s="440"/>
      <c r="K31" s="441"/>
      <c r="L31" s="519"/>
      <c r="M31" s="582"/>
      <c r="N31" s="314" t="s">
        <v>6834</v>
      </c>
      <c r="O31" s="314">
        <v>15500</v>
      </c>
      <c r="Q31" s="200" t="s">
        <v>4134</v>
      </c>
      <c r="R31" s="200"/>
      <c r="S31" s="200"/>
      <c r="T31" s="200" t="s">
        <v>6889</v>
      </c>
    </row>
    <row r="32" spans="1:28" ht="18.75">
      <c r="A32" s="229"/>
      <c r="B32" s="225"/>
      <c r="C32" s="224"/>
      <c r="D32" s="302"/>
      <c r="E32" s="438"/>
      <c r="F32" s="439"/>
      <c r="G32" s="499"/>
      <c r="H32" s="440"/>
      <c r="I32" s="498"/>
      <c r="J32" s="440" t="s">
        <v>25</v>
      </c>
      <c r="K32" s="441"/>
      <c r="L32" s="519"/>
      <c r="M32" s="582"/>
      <c r="Q32" s="207">
        <v>71408</v>
      </c>
      <c r="R32" s="64">
        <v>2386</v>
      </c>
      <c r="S32" s="64">
        <v>168881609</v>
      </c>
      <c r="T32" s="200">
        <f>R32/1.0127</f>
        <v>2356.0778117902637</v>
      </c>
      <c r="U32" t="s">
        <v>25</v>
      </c>
    </row>
    <row r="33" spans="1:22" ht="18.75">
      <c r="A33" s="229"/>
      <c r="B33" s="225"/>
      <c r="C33" s="224"/>
      <c r="D33" s="302"/>
      <c r="E33" s="438"/>
      <c r="F33" s="439"/>
      <c r="G33" s="499"/>
      <c r="H33" s="440"/>
      <c r="I33" s="498"/>
      <c r="J33" s="440"/>
      <c r="K33" s="441"/>
      <c r="L33" s="519"/>
      <c r="M33" s="582"/>
      <c r="Q33" s="207">
        <v>18797</v>
      </c>
      <c r="R33" s="64">
        <v>2504</v>
      </c>
      <c r="S33" s="64">
        <v>46653492</v>
      </c>
      <c r="T33" s="200">
        <f>R33/1.0127</f>
        <v>2472.5980053322801</v>
      </c>
    </row>
    <row r="34" spans="1:22" ht="18.75">
      <c r="A34" s="229" t="s">
        <v>7075</v>
      </c>
      <c r="B34" s="225" t="s">
        <v>4134</v>
      </c>
      <c r="C34" s="224">
        <v>2149</v>
      </c>
      <c r="D34" s="302">
        <v>576</v>
      </c>
      <c r="E34" s="590" t="s">
        <v>6921</v>
      </c>
      <c r="F34" s="591">
        <v>2066.1</v>
      </c>
      <c r="G34" s="592">
        <f>C34*D34*0.9912/(F34*1.00115)</f>
        <v>593.15705857967123</v>
      </c>
      <c r="H34" s="593">
        <f>C34/F34</f>
        <v>1.0401239049416775</v>
      </c>
      <c r="I34" s="594">
        <f>$O$22/$O$18</f>
        <v>0.98826291079812212</v>
      </c>
      <c r="J34" s="593">
        <f>I34/H34</f>
        <v>0.95013959981386698</v>
      </c>
      <c r="K34" s="441">
        <f>(1/J34-1.0152)*100</f>
        <v>3.7276920439797134</v>
      </c>
      <c r="L34" s="519"/>
      <c r="M34" s="582"/>
      <c r="R34" s="358" t="s">
        <v>25</v>
      </c>
      <c r="S34" s="358"/>
    </row>
    <row r="35" spans="1:22" ht="18.75">
      <c r="A35" s="229" t="s">
        <v>7079</v>
      </c>
      <c r="B35" s="225" t="s">
        <v>4134</v>
      </c>
      <c r="C35" s="224">
        <v>2055</v>
      </c>
      <c r="D35" s="302">
        <v>250291</v>
      </c>
      <c r="E35" s="590" t="s">
        <v>6921</v>
      </c>
      <c r="F35" s="591">
        <v>2047</v>
      </c>
      <c r="G35" s="592">
        <f>C35*D35*0.9912/(F35*1.00115)</f>
        <v>248771.92037949714</v>
      </c>
      <c r="H35" s="593">
        <f>C35/F35</f>
        <v>1.0039081582804104</v>
      </c>
      <c r="I35" s="594">
        <f>$O$22/$O$18</f>
        <v>0.98826291079812212</v>
      </c>
      <c r="J35" s="593">
        <f>I35/H35</f>
        <v>0.98441565859063551</v>
      </c>
      <c r="K35" s="441">
        <f>(1/J35-1.0152)*100</f>
        <v>6.3105802245777554E-2</v>
      </c>
      <c r="L35" s="519"/>
      <c r="M35" s="582"/>
      <c r="N35" s="599"/>
      <c r="O35" s="599"/>
      <c r="P35" s="599"/>
      <c r="Q35" s="599"/>
      <c r="R35" s="358"/>
      <c r="S35" s="358"/>
    </row>
    <row r="36" spans="1:22" ht="18.75">
      <c r="A36" s="229"/>
      <c r="B36" s="225"/>
      <c r="C36" s="224"/>
      <c r="D36" s="302"/>
      <c r="E36" s="590"/>
      <c r="F36" s="591"/>
      <c r="G36" s="592"/>
      <c r="H36" s="593"/>
      <c r="I36" s="594"/>
      <c r="J36" s="593"/>
      <c r="K36" s="441"/>
      <c r="L36" s="519"/>
      <c r="M36" s="582"/>
    </row>
    <row r="37" spans="1:22" ht="18.75">
      <c r="A37" s="229"/>
      <c r="B37" s="225"/>
      <c r="C37" s="224"/>
      <c r="D37" s="302"/>
      <c r="E37" s="590"/>
      <c r="F37" s="591" t="s">
        <v>25</v>
      </c>
      <c r="G37" s="592"/>
      <c r="H37" s="593"/>
      <c r="I37" s="594"/>
      <c r="J37" s="593"/>
      <c r="K37" s="441"/>
      <c r="L37" s="519"/>
      <c r="M37" s="582"/>
      <c r="P37" s="368"/>
      <c r="Q37" s="368"/>
      <c r="R37" s="581"/>
      <c r="S37" s="581"/>
    </row>
    <row r="38" spans="1:22" ht="15.75">
      <c r="A38" s="524"/>
      <c r="B38" s="525"/>
      <c r="C38" s="526"/>
      <c r="D38" s="372"/>
      <c r="E38" s="432"/>
      <c r="F38" s="543" t="s">
        <v>6948</v>
      </c>
      <c r="G38" s="543"/>
      <c r="H38" s="543" t="s">
        <v>6949</v>
      </c>
      <c r="I38" s="472" t="s">
        <v>6950</v>
      </c>
      <c r="J38" s="432" t="s">
        <v>6951</v>
      </c>
      <c r="K38" s="544" t="s">
        <v>6952</v>
      </c>
      <c r="L38" s="432" t="s">
        <v>6953</v>
      </c>
      <c r="M38" s="545" t="s">
        <v>6954</v>
      </c>
      <c r="N38" s="545" t="s">
        <v>6955</v>
      </c>
      <c r="O38" s="545" t="s">
        <v>6956</v>
      </c>
      <c r="P38" s="546" t="s">
        <v>4387</v>
      </c>
      <c r="Q38" s="547" t="s">
        <v>6957</v>
      </c>
      <c r="U38" s="358"/>
      <c r="V38" s="456"/>
    </row>
    <row r="39" spans="1:22" ht="23.25">
      <c r="A39" s="558" t="s">
        <v>6925</v>
      </c>
      <c r="B39" s="235" t="s">
        <v>5139</v>
      </c>
      <c r="C39" s="539">
        <v>820</v>
      </c>
      <c r="D39" s="540">
        <v>19724</v>
      </c>
      <c r="E39" s="530" t="s">
        <v>6891</v>
      </c>
      <c r="F39" s="530">
        <v>1199.2</v>
      </c>
      <c r="G39" s="530" t="s">
        <v>6899</v>
      </c>
      <c r="H39" s="530">
        <v>132</v>
      </c>
      <c r="I39" s="530">
        <v>1199.2</v>
      </c>
      <c r="J39" s="531">
        <f t="shared" ref="J39" si="16">C39*D39*0.9912/(F39*1.00115)</f>
        <v>13353.01595959843</v>
      </c>
      <c r="K39" s="531">
        <f t="shared" ref="K39" si="17">J39*H39*0.99885/(I39*1.00115-H39*0.99885)</f>
        <v>1647.3474770789121</v>
      </c>
      <c r="L39" s="570">
        <f t="shared" ref="L39" si="18">K39+J39</f>
        <v>15000.363436677342</v>
      </c>
      <c r="M39" s="531">
        <f>L39*$O$17*1.00115/($O$21*0.99885)</f>
        <v>13.317009738018491</v>
      </c>
      <c r="N39" s="531">
        <f>L39-M39</f>
        <v>14987.046426939323</v>
      </c>
      <c r="O39" s="531">
        <f>N39*$O$21*0.99885/($O$23*1.003631981)</f>
        <v>19711.704871556474</v>
      </c>
      <c r="P39" s="440">
        <f>O39/D39</f>
        <v>0.99937664122675285</v>
      </c>
      <c r="Q39" s="440">
        <f>100*(O39-D39)/D39</f>
        <v>-6.2335877324709771E-2</v>
      </c>
      <c r="R39" s="384" t="s">
        <v>422</v>
      </c>
      <c r="S39" s="555">
        <f>C39*D39*Q39/100</f>
        <v>-10082.005323691119</v>
      </c>
      <c r="U39" s="358"/>
      <c r="V39" s="456"/>
    </row>
    <row r="40" spans="1:22" ht="23.25">
      <c r="A40" s="558" t="s">
        <v>6904</v>
      </c>
      <c r="B40" s="235" t="s">
        <v>5139</v>
      </c>
      <c r="C40" s="539">
        <v>706.2</v>
      </c>
      <c r="D40" s="540">
        <v>37174</v>
      </c>
      <c r="E40" s="560" t="s">
        <v>6891</v>
      </c>
      <c r="F40" s="532">
        <v>1093</v>
      </c>
      <c r="G40" s="532" t="s">
        <v>6898</v>
      </c>
      <c r="H40" s="532">
        <v>197.2</v>
      </c>
      <c r="I40" s="532">
        <v>1093</v>
      </c>
      <c r="J40" s="541">
        <f t="shared" ref="J40:J46" si="19">C40*D40*0.9912/(F40*1.00115)</f>
        <v>23779.843250307891</v>
      </c>
      <c r="K40" s="541">
        <f t="shared" ref="K40:K46" si="20">J40*H40*0.99885/(I40*1.00115-H40*0.99885)</f>
        <v>5220.1908264941021</v>
      </c>
      <c r="L40" s="571">
        <f t="shared" ref="L40:L46" si="21">K40+J40</f>
        <v>29000.034076801992</v>
      </c>
      <c r="M40" s="541">
        <f>L40*$O$16*1.00115/($O$21*0.99885)</f>
        <v>257.45625286608663</v>
      </c>
      <c r="N40" s="541">
        <f>L40-M40</f>
        <v>28742.577823935906</v>
      </c>
      <c r="O40" s="541">
        <f>N40*$O$21*0.99885/($O$23*1.003631981)</f>
        <v>37803.660252547386</v>
      </c>
      <c r="P40" s="440">
        <f>O40/D40</f>
        <v>1.016938189394399</v>
      </c>
      <c r="Q40" s="440">
        <f>100*(O40-D40)/D40</f>
        <v>1.6938189394398944</v>
      </c>
      <c r="R40" s="384" t="s">
        <v>422</v>
      </c>
      <c r="S40" s="555">
        <f>C40*D40*Q40/100</f>
        <v>444666.07034896425</v>
      </c>
      <c r="U40" s="358"/>
      <c r="V40" s="456"/>
    </row>
    <row r="41" spans="1:22" ht="18.75" customHeight="1">
      <c r="A41" s="558" t="s">
        <v>6905</v>
      </c>
      <c r="B41" s="235" t="s">
        <v>5139</v>
      </c>
      <c r="C41" s="539">
        <v>718.9</v>
      </c>
      <c r="D41" s="540">
        <v>79065</v>
      </c>
      <c r="E41" s="560" t="s">
        <v>6891</v>
      </c>
      <c r="F41" s="532">
        <v>1120.5</v>
      </c>
      <c r="G41" s="532" t="s">
        <v>6898</v>
      </c>
      <c r="H41" s="532">
        <v>183</v>
      </c>
      <c r="I41" s="532">
        <v>1120.5</v>
      </c>
      <c r="J41" s="541">
        <f t="shared" si="19"/>
        <v>50223.044934469937</v>
      </c>
      <c r="K41" s="541">
        <f t="shared" si="20"/>
        <v>9776.631858804687</v>
      </c>
      <c r="L41" s="571">
        <f t="shared" si="21"/>
        <v>59999.676793274622</v>
      </c>
      <c r="M41" s="541">
        <f>L41*$O$16*1.00115/($O$21*0.99885)</f>
        <v>532.66461409883448</v>
      </c>
      <c r="N41" s="541">
        <f>L41-M41</f>
        <v>59467.012179175785</v>
      </c>
      <c r="O41" s="541">
        <f>N41*$O$21*0.99885/($O$23*1.003631981)</f>
        <v>78213.956257727754</v>
      </c>
      <c r="P41" s="440">
        <f>O41/D41</f>
        <v>0.9892361507332923</v>
      </c>
      <c r="Q41" s="440">
        <f>100*(O41-D41)/D41</f>
        <v>-1.0763849266707723</v>
      </c>
      <c r="R41" s="384" t="s">
        <v>422</v>
      </c>
      <c r="S41" s="555">
        <f>C41*D41*Q41/100</f>
        <v>-611815.34631951782</v>
      </c>
      <c r="T41" s="358"/>
      <c r="U41" s="358"/>
      <c r="V41" s="456"/>
    </row>
    <row r="42" spans="1:22" ht="21.75" customHeight="1">
      <c r="A42" s="558" t="s">
        <v>6907</v>
      </c>
      <c r="B42" s="235" t="s">
        <v>5139</v>
      </c>
      <c r="C42" s="539">
        <v>721</v>
      </c>
      <c r="D42" s="540">
        <v>65907</v>
      </c>
      <c r="E42" s="560" t="s">
        <v>6891</v>
      </c>
      <c r="F42" s="532">
        <v>1130</v>
      </c>
      <c r="G42" s="532" t="s">
        <v>6898</v>
      </c>
      <c r="H42" s="532">
        <v>189.5</v>
      </c>
      <c r="I42" s="532">
        <v>1130</v>
      </c>
      <c r="J42" s="541">
        <f t="shared" si="19"/>
        <v>41634.227069312765</v>
      </c>
      <c r="K42" s="541">
        <f t="shared" si="20"/>
        <v>8365.676346911192</v>
      </c>
      <c r="L42" s="571">
        <f t="shared" si="21"/>
        <v>49999.903416223955</v>
      </c>
      <c r="M42" s="541">
        <f>L42*$O$16*1.00115/($O$21*0.99885)</f>
        <v>443.88871209998331</v>
      </c>
      <c r="N42" s="541">
        <f>L42-M42</f>
        <v>49556.014704123969</v>
      </c>
      <c r="O42" s="541">
        <f>N42*$O$21*0.99885/($O$23*1.003631981)</f>
        <v>65178.522080397335</v>
      </c>
      <c r="P42" s="440">
        <f>O42/D42</f>
        <v>0.98894688091397476</v>
      </c>
      <c r="Q42" s="440">
        <f>100*(O42-D42)/D42</f>
        <v>-1.1053119086025229</v>
      </c>
      <c r="R42" s="384" t="s">
        <v>422</v>
      </c>
      <c r="S42" s="555">
        <f>C42*D42*Q42/100</f>
        <v>-525232.58003352128</v>
      </c>
      <c r="V42" s="456"/>
    </row>
    <row r="43" spans="1:22" ht="23.25">
      <c r="A43" s="558" t="s">
        <v>7061</v>
      </c>
      <c r="B43" s="235" t="s">
        <v>5139</v>
      </c>
      <c r="C43" s="539">
        <v>706.2</v>
      </c>
      <c r="D43" s="540">
        <v>73055</v>
      </c>
      <c r="E43" s="560" t="s">
        <v>6891</v>
      </c>
      <c r="F43" s="532">
        <v>1096.7</v>
      </c>
      <c r="G43" s="532" t="s">
        <v>6898</v>
      </c>
      <c r="H43" s="532">
        <v>185</v>
      </c>
      <c r="I43" s="532">
        <v>1096.7</v>
      </c>
      <c r="J43" s="541">
        <f t="shared" si="19"/>
        <v>46574.902725456493</v>
      </c>
      <c r="K43" s="541">
        <f t="shared" si="20"/>
        <v>9424.7630985649485</v>
      </c>
      <c r="L43" s="571">
        <f t="shared" si="21"/>
        <v>55999.665824021446</v>
      </c>
      <c r="M43" s="541">
        <f>L43*$O$16*1.00115/($O$21*0.99885)</f>
        <v>497.1533511520451</v>
      </c>
      <c r="N43" s="541">
        <f>L43-M43</f>
        <v>55502.512472869399</v>
      </c>
      <c r="O43" s="541">
        <f>N43*$O$21*0.99885/($O$23*1.003631981)</f>
        <v>72999.650119754253</v>
      </c>
      <c r="P43" s="440">
        <f>O43/D43</f>
        <v>0.99924235329209843</v>
      </c>
      <c r="Q43" s="440">
        <f>100*(O43-D43)/D43</f>
        <v>-7.5764670790154059E-2</v>
      </c>
      <c r="R43" s="384" t="s">
        <v>422</v>
      </c>
      <c r="S43" s="555">
        <f>C43*D43*Q43/100</f>
        <v>-39088.085429546569</v>
      </c>
      <c r="V43" s="456"/>
    </row>
    <row r="44" spans="1:22" ht="18.75" customHeight="1">
      <c r="A44" s="558" t="s">
        <v>7067</v>
      </c>
      <c r="B44" s="225" t="s">
        <v>4134</v>
      </c>
      <c r="C44" s="224">
        <v>2149</v>
      </c>
      <c r="D44" s="302">
        <v>252081</v>
      </c>
      <c r="E44" s="590" t="s">
        <v>6921</v>
      </c>
      <c r="F44" s="591">
        <v>2066.1</v>
      </c>
      <c r="G44" s="592" t="s">
        <v>7066</v>
      </c>
      <c r="H44" s="593">
        <v>284.89999999999998</v>
      </c>
      <c r="I44" s="594">
        <v>2066.1</v>
      </c>
      <c r="J44" s="593">
        <f t="shared" si="19"/>
        <v>259589.62583996897</v>
      </c>
      <c r="K44" s="595">
        <f t="shared" si="20"/>
        <v>41410.327152335325</v>
      </c>
      <c r="L44" s="596">
        <f t="shared" si="21"/>
        <v>300999.95299230429</v>
      </c>
      <c r="M44" s="595">
        <f>L44*$O$5*1.00115/($O$18*0.99885)</f>
        <v>37534.581331270412</v>
      </c>
      <c r="N44" s="595">
        <f>L44-M44</f>
        <v>263465.37166103389</v>
      </c>
      <c r="O44" s="595">
        <f>N44*$O$18*0.99885/($O$22*1.003631981)</f>
        <v>265324.17812981113</v>
      </c>
      <c r="P44" s="440">
        <f>O44/D44</f>
        <v>1.0525354077848434</v>
      </c>
      <c r="Q44" s="440">
        <f>100*(O44-D44)/D44</f>
        <v>5.2535407784843491</v>
      </c>
      <c r="R44" s="384" t="s">
        <v>422</v>
      </c>
      <c r="S44" s="555">
        <f>C44*D44*Q44/100</f>
        <v>28459589.800964121</v>
      </c>
      <c r="V44" s="456"/>
    </row>
    <row r="45" spans="1:22" ht="20.25" customHeight="1">
      <c r="A45" s="558" t="s">
        <v>7068</v>
      </c>
      <c r="B45" s="225" t="s">
        <v>4134</v>
      </c>
      <c r="C45" s="224">
        <v>2149</v>
      </c>
      <c r="D45" s="302">
        <v>30725</v>
      </c>
      <c r="E45" s="590" t="s">
        <v>6921</v>
      </c>
      <c r="F45" s="591">
        <v>2066.1</v>
      </c>
      <c r="G45" s="592" t="s">
        <v>7066</v>
      </c>
      <c r="H45" s="593">
        <v>300</v>
      </c>
      <c r="I45" s="594">
        <v>2066.1</v>
      </c>
      <c r="J45" s="593">
        <f t="shared" si="19"/>
        <v>31640.192057049306</v>
      </c>
      <c r="K45" s="595">
        <f t="shared" si="20"/>
        <v>5360.1476183587247</v>
      </c>
      <c r="L45" s="596">
        <f t="shared" si="21"/>
        <v>37000.339675408031</v>
      </c>
      <c r="M45" s="595">
        <f>L45*$O$5*1.00115/($O$18*0.99885)</f>
        <v>4613.9284907687079</v>
      </c>
      <c r="N45" s="595">
        <f>L45-M45</f>
        <v>32386.411184639324</v>
      </c>
      <c r="O45" s="595">
        <f>N45*$O$18*0.99885/($O$22*1.003631981)</f>
        <v>32614.904478581346</v>
      </c>
      <c r="P45" s="440">
        <f>O45/D45</f>
        <v>1.0615103166340552</v>
      </c>
      <c r="Q45" s="440">
        <f>100*(O45-D45)/D45</f>
        <v>6.1510316634055195</v>
      </c>
      <c r="R45" s="384" t="s">
        <v>422</v>
      </c>
      <c r="S45" s="555">
        <f>C45*D45*Q45/100</f>
        <v>4061404.724471312</v>
      </c>
      <c r="T45" s="337"/>
      <c r="V45" s="456"/>
    </row>
    <row r="46" spans="1:22" ht="23.25">
      <c r="A46" s="558" t="s">
        <v>7067</v>
      </c>
      <c r="B46" s="225" t="s">
        <v>4134</v>
      </c>
      <c r="C46" s="224">
        <v>2149</v>
      </c>
      <c r="D46" s="302">
        <v>98565</v>
      </c>
      <c r="E46" s="590" t="s">
        <v>6921</v>
      </c>
      <c r="F46" s="591">
        <v>2066.1</v>
      </c>
      <c r="G46" s="592" t="s">
        <v>7065</v>
      </c>
      <c r="H46" s="593">
        <v>160</v>
      </c>
      <c r="I46" s="594">
        <v>2066.1</v>
      </c>
      <c r="J46" s="593">
        <f t="shared" si="19"/>
        <v>101500.91228976616</v>
      </c>
      <c r="K46" s="595">
        <f t="shared" si="20"/>
        <v>8498.8786221841983</v>
      </c>
      <c r="L46" s="596">
        <f t="shared" si="21"/>
        <v>109999.79091195036</v>
      </c>
      <c r="M46" s="595">
        <f>L46*$O$6*1.00115/($O$18*0.99885)</f>
        <v>6470.2512743821544</v>
      </c>
      <c r="N46" s="595">
        <f>L46-M46</f>
        <v>103529.5396375682</v>
      </c>
      <c r="O46" s="595">
        <f>N46*$O$18*0.99885/($O$22*1.003631981)</f>
        <v>104259.96343776093</v>
      </c>
      <c r="P46" s="440">
        <f>O46/D46</f>
        <v>1.0577787595775472</v>
      </c>
      <c r="Q46" s="440">
        <f>100*(O46-D46)/D46</f>
        <v>5.7778759577547136</v>
      </c>
      <c r="R46" s="384" t="s">
        <v>422</v>
      </c>
      <c r="S46" s="555">
        <f>C46*D46*Q46/100</f>
        <v>12238476.427748246</v>
      </c>
      <c r="T46" s="358"/>
      <c r="U46" s="358"/>
      <c r="V46" s="456"/>
    </row>
    <row r="47" spans="1:22" ht="23.25">
      <c r="A47" s="558" t="s">
        <v>7078</v>
      </c>
      <c r="B47" s="225" t="s">
        <v>4134</v>
      </c>
      <c r="C47" s="224">
        <v>2195</v>
      </c>
      <c r="D47" s="302">
        <v>162176</v>
      </c>
      <c r="E47" s="590" t="s">
        <v>6921</v>
      </c>
      <c r="F47" s="591">
        <v>2163</v>
      </c>
      <c r="G47" s="592" t="s">
        <v>7065</v>
      </c>
      <c r="H47" s="593">
        <v>125</v>
      </c>
      <c r="I47" s="594">
        <v>2163</v>
      </c>
      <c r="J47" s="593">
        <f t="shared" ref="J47" si="22">C47*D47*0.9912/(F47*1.00115)</f>
        <v>162939.63208329838</v>
      </c>
      <c r="K47" s="595">
        <f t="shared" ref="K47" si="23">J47*H47*0.99885/(I47*1.00115-H47*0.99885)</f>
        <v>9969.4797562148033</v>
      </c>
      <c r="L47" s="596">
        <f t="shared" ref="L47" si="24">K47+J47</f>
        <v>172909.11183951318</v>
      </c>
      <c r="M47" s="595">
        <f>L47*$O$6*1.00115/($O$18*0.99885)</f>
        <v>10170.613888961074</v>
      </c>
      <c r="N47" s="595">
        <f>L47-M47</f>
        <v>162738.49795055209</v>
      </c>
      <c r="O47" s="595">
        <f>N47*$O$18*0.99885/($O$22*1.003631981)</f>
        <v>163886.65404712927</v>
      </c>
      <c r="P47" s="440">
        <f>O47/D47</f>
        <v>1.0105481331832655</v>
      </c>
      <c r="Q47" s="440">
        <f>100*(O47-D47)/D47</f>
        <v>1.0548133183265516</v>
      </c>
      <c r="R47" s="384" t="s">
        <v>422</v>
      </c>
      <c r="S47" s="555">
        <f>C47*D47*Q47/100</f>
        <v>3754885.6334487437</v>
      </c>
      <c r="V47" s="456"/>
    </row>
    <row r="48" spans="1:22" ht="23.25">
      <c r="A48" s="558" t="s">
        <v>7078</v>
      </c>
      <c r="B48" s="225" t="s">
        <v>4134</v>
      </c>
      <c r="C48" s="224">
        <v>2149</v>
      </c>
      <c r="D48" s="302">
        <v>6470</v>
      </c>
      <c r="E48" s="590" t="s">
        <v>6921</v>
      </c>
      <c r="F48" s="591">
        <v>2066.1</v>
      </c>
      <c r="G48" s="592" t="s">
        <v>7065</v>
      </c>
      <c r="H48" s="593">
        <v>125</v>
      </c>
      <c r="I48" s="594">
        <v>2066</v>
      </c>
      <c r="J48" s="593">
        <f t="shared" ref="J48" si="25">C48*D48*0.9912/(F48*1.00115)</f>
        <v>6662.7190434209615</v>
      </c>
      <c r="K48" s="595">
        <f t="shared" ref="K48" si="26">J48*H48*0.99885/(I48*1.00115-H48*0.99885)</f>
        <v>428.02866159090718</v>
      </c>
      <c r="L48" s="596">
        <f t="shared" ref="L48" si="27">K48+J48</f>
        <v>7090.7477050118687</v>
      </c>
      <c r="M48" s="595">
        <f>L48*$O$6*1.00115/($O$18*0.99885)</f>
        <v>417.08187801374356</v>
      </c>
      <c r="N48" s="595">
        <f>L48-M48</f>
        <v>6673.6658269981253</v>
      </c>
      <c r="O48" s="595">
        <f>N48*$O$18*0.99885/($O$22*1.003631981)</f>
        <v>6720.7500154494319</v>
      </c>
      <c r="P48" s="440">
        <f>O48/D48</f>
        <v>1.0387557983693094</v>
      </c>
      <c r="Q48" s="440">
        <f>100*(O48-D48)/D48</f>
        <v>3.8755798369309411</v>
      </c>
      <c r="R48" s="384" t="s">
        <v>422</v>
      </c>
      <c r="S48" s="555">
        <f>C48*D48*Q48/100</f>
        <v>538861.78320082906</v>
      </c>
      <c r="V48" s="456"/>
    </row>
    <row r="49" spans="1:33" ht="23.25">
      <c r="A49" s="558" t="s">
        <v>7082</v>
      </c>
      <c r="B49" s="225" t="s">
        <v>4134</v>
      </c>
      <c r="C49" s="224">
        <v>2055</v>
      </c>
      <c r="D49" s="302">
        <v>374083</v>
      </c>
      <c r="E49" s="590" t="s">
        <v>6921</v>
      </c>
      <c r="F49" s="591">
        <v>2047</v>
      </c>
      <c r="G49" s="592" t="s">
        <v>7065</v>
      </c>
      <c r="H49" s="593">
        <v>135</v>
      </c>
      <c r="I49" s="594">
        <v>2047</v>
      </c>
      <c r="J49" s="593">
        <f t="shared" ref="J49" si="28">C49*D49*0.9912/(F49*1.00115)</f>
        <v>371812.59530435945</v>
      </c>
      <c r="K49" s="595">
        <f t="shared" ref="K49" si="29">J49*H49*0.99885/(I49*1.00115-H49*0.99885)</f>
        <v>26187.899145053787</v>
      </c>
      <c r="L49" s="596">
        <f t="shared" ref="L49" si="30">K49+J49</f>
        <v>398000.49444941327</v>
      </c>
      <c r="M49" s="595">
        <f>L49*$O$6*1.00115/($O$18*0.99885)</f>
        <v>23410.619102697568</v>
      </c>
      <c r="N49" s="595">
        <f>L49-M49</f>
        <v>374589.87534671568</v>
      </c>
      <c r="O49" s="595">
        <f>N49*$O$18*0.99885/($O$22*1.003631981)</f>
        <v>377232.68976685422</v>
      </c>
      <c r="P49" s="440">
        <f>O49/D49</f>
        <v>1.0084197618358872</v>
      </c>
      <c r="Q49" s="440">
        <f>100*(O49-D49)/D49</f>
        <v>0.84197618358872828</v>
      </c>
      <c r="R49" s="384" t="s">
        <v>422</v>
      </c>
      <c r="S49" s="555">
        <f>C49*D49*Q49/100</f>
        <v>6472612.4708854267</v>
      </c>
    </row>
    <row r="50" spans="1:33" ht="25.5" customHeight="1">
      <c r="A50" s="561" t="s">
        <v>6942</v>
      </c>
      <c r="B50" s="527" t="s">
        <v>4134</v>
      </c>
      <c r="C50" s="528">
        <v>2677.2004564473186</v>
      </c>
      <c r="D50" s="529">
        <v>29107.532464494569</v>
      </c>
      <c r="E50" s="495" t="s">
        <v>5594</v>
      </c>
      <c r="F50" s="533">
        <v>144.1</v>
      </c>
      <c r="G50" s="533" t="s">
        <v>6926</v>
      </c>
      <c r="H50" s="533">
        <v>50.6</v>
      </c>
      <c r="I50" s="533">
        <v>144.1</v>
      </c>
      <c r="J50" s="534">
        <f t="shared" ref="J50:J52" si="31">C50*D50*0.9912/(F50*1.003631981)</f>
        <v>534083.42696209415</v>
      </c>
      <c r="K50" s="534">
        <f t="shared" ref="K50:K52" si="32">J50*H50*0.99885/(I50*1.003631981-H50*0.99885)</f>
        <v>286916.41094084526</v>
      </c>
      <c r="L50" s="611">
        <f t="shared" ref="L50:L93" si="33">K50+J50</f>
        <v>820999.83790293941</v>
      </c>
      <c r="M50" s="534">
        <f>L50*$O$15*1.00115/($O$20*0.9912)</f>
        <v>96423.40828553219</v>
      </c>
      <c r="N50" s="534">
        <f>L50-M50</f>
        <v>724576.42961740727</v>
      </c>
      <c r="O50" s="534">
        <f t="shared" ref="O50:O65" si="34">N50*$O$20*0.9912/($O$22*1.003631981)</f>
        <v>43853.939599063691</v>
      </c>
      <c r="P50" s="440">
        <f>O50/D50</f>
        <v>1.5066182491613407</v>
      </c>
      <c r="Q50" s="440">
        <f>100*(O50-D50)/D50</f>
        <v>50.661824916134066</v>
      </c>
      <c r="R50" s="388" t="s">
        <v>1005</v>
      </c>
      <c r="S50" s="555">
        <f>C50*D50*Q50/100</f>
        <v>39479087.911626451</v>
      </c>
    </row>
    <row r="51" spans="1:33" ht="23.25">
      <c r="A51" s="559" t="s">
        <v>6944</v>
      </c>
      <c r="B51" s="527" t="s">
        <v>4134</v>
      </c>
      <c r="C51" s="528">
        <v>2678.9306200076076</v>
      </c>
      <c r="D51" s="529">
        <v>125706.61236424393</v>
      </c>
      <c r="E51" s="495" t="s">
        <v>5594</v>
      </c>
      <c r="F51" s="533">
        <v>146.00120000000001</v>
      </c>
      <c r="G51" s="533" t="s">
        <v>6926</v>
      </c>
      <c r="H51" s="533">
        <v>50.2</v>
      </c>
      <c r="I51" s="533">
        <v>146.00120000000001</v>
      </c>
      <c r="J51" s="534">
        <f t="shared" si="31"/>
        <v>2277980.3072777423</v>
      </c>
      <c r="K51" s="534">
        <f t="shared" si="32"/>
        <v>1185019.6845149247</v>
      </c>
      <c r="L51" s="572">
        <f t="shared" si="33"/>
        <v>3462999.9917926667</v>
      </c>
      <c r="M51" s="534">
        <f>L51*$O$15*1.00115/($O$20*0.9912)</f>
        <v>406716.59930448746</v>
      </c>
      <c r="N51" s="534">
        <f>L51-M51</f>
        <v>3056283.3924881793</v>
      </c>
      <c r="O51" s="534">
        <f t="shared" si="34"/>
        <v>184977.12844809069</v>
      </c>
      <c r="P51" s="440">
        <f>O51/D51</f>
        <v>1.4714987936522081</v>
      </c>
      <c r="Q51" s="440">
        <f>100*(O51-D51)/D51</f>
        <v>47.149879365220805</v>
      </c>
      <c r="R51" s="250" t="s">
        <v>7027</v>
      </c>
      <c r="S51" s="555">
        <f>C51*D51*Q51/100</f>
        <v>158781600.40067047</v>
      </c>
    </row>
    <row r="52" spans="1:33" ht="23.25" customHeight="1">
      <c r="A52" s="561" t="s">
        <v>6945</v>
      </c>
      <c r="B52" s="527" t="s">
        <v>4134</v>
      </c>
      <c r="C52" s="528">
        <v>2677.2004564473186</v>
      </c>
      <c r="D52" s="529">
        <v>8014.5515246449449</v>
      </c>
      <c r="E52" s="495" t="s">
        <v>5594</v>
      </c>
      <c r="F52" s="533">
        <v>145.785</v>
      </c>
      <c r="G52" s="533" t="s">
        <v>6926</v>
      </c>
      <c r="H52" s="533">
        <v>55.1</v>
      </c>
      <c r="I52" s="533">
        <v>145.785</v>
      </c>
      <c r="J52" s="534">
        <f t="shared" si="31"/>
        <v>145356.37244831771</v>
      </c>
      <c r="K52" s="534">
        <f t="shared" si="32"/>
        <v>87643.665158068354</v>
      </c>
      <c r="L52" s="610">
        <f t="shared" si="33"/>
        <v>233000.03760638606</v>
      </c>
      <c r="M52" s="534">
        <f>L52*$O$15*1.00115/($O$20*0.9912)</f>
        <v>27364.996580329385</v>
      </c>
      <c r="N52" s="534">
        <f>L52-M52</f>
        <v>205635.04102605669</v>
      </c>
      <c r="O52" s="534">
        <f t="shared" si="34"/>
        <v>12445.763207297996</v>
      </c>
      <c r="P52" s="440">
        <f>O52/D52</f>
        <v>1.5528957757682342</v>
      </c>
      <c r="Q52" s="440">
        <f>100*(O52-D52)/D52</f>
        <v>55.289577576823419</v>
      </c>
      <c r="R52" s="388" t="s">
        <v>1005</v>
      </c>
      <c r="S52" s="555">
        <f>C52*D52*Q52/100</f>
        <v>11863241.939413438</v>
      </c>
    </row>
    <row r="53" spans="1:33" ht="25.5" customHeight="1">
      <c r="A53" s="388" t="s">
        <v>7029</v>
      </c>
      <c r="B53" s="527" t="s">
        <v>4134</v>
      </c>
      <c r="C53" s="528">
        <v>2677.2004564473186</v>
      </c>
      <c r="D53" s="529">
        <v>103090.20279573934</v>
      </c>
      <c r="E53" s="495" t="s">
        <v>5594</v>
      </c>
      <c r="F53" s="533">
        <v>145.81425999999999</v>
      </c>
      <c r="G53" s="533" t="s">
        <v>6926</v>
      </c>
      <c r="H53" s="533">
        <v>45</v>
      </c>
      <c r="I53" s="533">
        <v>140.5</v>
      </c>
      <c r="J53" s="534">
        <f t="shared" ref="J53" si="35">C53*D53*0.9912/(F53*1.003631981)</f>
        <v>1869326.1775334773</v>
      </c>
      <c r="K53" s="534">
        <f t="shared" ref="K53" si="36">J53*H53*0.99885/(I53*1.003631981-H53*0.99885)</f>
        <v>874673.67386970378</v>
      </c>
      <c r="L53" s="610">
        <f t="shared" ref="L53" si="37">K53+J53</f>
        <v>2743999.851403181</v>
      </c>
      <c r="M53" s="534">
        <f>L53*$O$15*1.00115/($O$20*0.9912)</f>
        <v>322272.67995949171</v>
      </c>
      <c r="N53" s="534">
        <f>L53-M53</f>
        <v>2421727.1714436891</v>
      </c>
      <c r="O53" s="534">
        <f t="shared" si="34"/>
        <v>146571.53167124151</v>
      </c>
      <c r="P53" s="440">
        <f>O53/D53</f>
        <v>1.4217794484472508</v>
      </c>
      <c r="Q53" s="440">
        <f>100*(O53-D53)/D53</f>
        <v>42.177944844725069</v>
      </c>
      <c r="R53" s="388" t="s">
        <v>1005</v>
      </c>
      <c r="S53" s="555">
        <f>C53*D53*Q53/100</f>
        <v>116408233.51243037</v>
      </c>
    </row>
    <row r="54" spans="1:33" ht="23.25">
      <c r="A54" s="562" t="s">
        <v>7029</v>
      </c>
      <c r="B54" s="527" t="s">
        <v>4134</v>
      </c>
      <c r="C54" s="528">
        <v>2694.5020920502093</v>
      </c>
      <c r="D54" s="529">
        <v>4434</v>
      </c>
      <c r="E54" s="495" t="s">
        <v>5594</v>
      </c>
      <c r="F54" s="533">
        <v>146.25</v>
      </c>
      <c r="G54" s="533" t="s">
        <v>6926</v>
      </c>
      <c r="H54" s="533">
        <v>45.5</v>
      </c>
      <c r="I54" s="533">
        <v>140.5</v>
      </c>
      <c r="J54" s="534">
        <f t="shared" ref="J54" si="38">C54*D54*0.9912/(F54*1.003631981)</f>
        <v>80679.860894357596</v>
      </c>
      <c r="K54" s="534">
        <f t="shared" ref="K54" si="39">J54*H54*0.99885/(I54*1.003631981-H54*0.99885)</f>
        <v>38369.732443817898</v>
      </c>
      <c r="L54" s="576">
        <f t="shared" ref="L54" si="40">K54+J54</f>
        <v>119049.5933381755</v>
      </c>
      <c r="M54" s="534">
        <f>L54*$O$15*1.00115/($O$20*0.9912)</f>
        <v>13981.936432526512</v>
      </c>
      <c r="N54" s="534">
        <f>L54-M54</f>
        <v>105067.656905649</v>
      </c>
      <c r="O54" s="534">
        <f t="shared" si="34"/>
        <v>6359.0678518046907</v>
      </c>
      <c r="P54" s="440">
        <f>O54/D54</f>
        <v>1.434160543934301</v>
      </c>
      <c r="Q54" s="440">
        <f>100*(O54-D54)/D54</f>
        <v>43.416054393430102</v>
      </c>
      <c r="R54" s="518" t="s">
        <v>5281</v>
      </c>
      <c r="S54" s="555">
        <f>C54*D54*Q54/100</f>
        <v>5187099.3540263409</v>
      </c>
    </row>
    <row r="55" spans="1:33" ht="23.25">
      <c r="A55" s="561" t="s">
        <v>7032</v>
      </c>
      <c r="B55" s="527" t="s">
        <v>4134</v>
      </c>
      <c r="C55" s="528">
        <v>2677.2004564473186</v>
      </c>
      <c r="D55" s="529">
        <v>42082.890583959896</v>
      </c>
      <c r="E55" s="495" t="s">
        <v>5594</v>
      </c>
      <c r="F55" s="533">
        <v>145.81425999999999</v>
      </c>
      <c r="G55" s="533" t="s">
        <v>6926</v>
      </c>
      <c r="H55" s="533">
        <v>52.1</v>
      </c>
      <c r="I55" s="533">
        <v>142</v>
      </c>
      <c r="J55" s="534">
        <f t="shared" ref="J55" si="41">C55*D55*0.9912/(F55*1.003631981)</f>
        <v>763085.59748147626</v>
      </c>
      <c r="K55" s="534">
        <f t="shared" ref="K55" si="42">J55*H55*0.99885/(I55*1.003631981-H55*0.99885)</f>
        <v>438914.07897235651</v>
      </c>
      <c r="L55" s="611">
        <f t="shared" ref="L55" si="43">K55+J55</f>
        <v>1201999.6764538328</v>
      </c>
      <c r="M55" s="534">
        <f>L55*$O$15*1.00115/($O$20*0.9912)</f>
        <v>141170.43659573488</v>
      </c>
      <c r="N55" s="534">
        <f>L55-M55</f>
        <v>1060829.2398580979</v>
      </c>
      <c r="O55" s="534">
        <f t="shared" si="34"/>
        <v>64205.154222615405</v>
      </c>
      <c r="P55" s="440">
        <f>O55/D55</f>
        <v>1.5256830824042187</v>
      </c>
      <c r="Q55" s="440">
        <f>100*(O55-D55)/D55</f>
        <v>52.568308240421871</v>
      </c>
      <c r="R55" s="388" t="s">
        <v>1005</v>
      </c>
      <c r="S55" s="555">
        <f>C55*D55*Q55/100</f>
        <v>59225734.31105645</v>
      </c>
    </row>
    <row r="56" spans="1:33" ht="21" customHeight="1">
      <c r="A56" s="562" t="s">
        <v>7032</v>
      </c>
      <c r="B56" s="527" t="s">
        <v>4134</v>
      </c>
      <c r="C56" s="528">
        <v>2694.5020920502093</v>
      </c>
      <c r="D56" s="529">
        <v>45030.025939849627</v>
      </c>
      <c r="E56" s="495" t="s">
        <v>5594</v>
      </c>
      <c r="F56" s="533">
        <v>146.25</v>
      </c>
      <c r="G56" s="533" t="s">
        <v>6926</v>
      </c>
      <c r="H56" s="533">
        <v>49.4</v>
      </c>
      <c r="I56" s="533">
        <v>141</v>
      </c>
      <c r="J56" s="534">
        <f t="shared" ref="J56" si="44">C56*D56*0.9912/(F56*1.003631981)</f>
        <v>819354.13371591852</v>
      </c>
      <c r="K56" s="534">
        <f t="shared" ref="K56" si="45">J56*H56*0.99885/(I56*1.003631981-H56*0.99885)</f>
        <v>438646.20519661886</v>
      </c>
      <c r="L56" s="576">
        <f t="shared" ref="L56" si="46">K56+J56</f>
        <v>1258000.3389125373</v>
      </c>
      <c r="M56" s="534">
        <f>L56*$O$15*1.00115/($O$20*0.9912)</f>
        <v>147747.5082237981</v>
      </c>
      <c r="N56" s="534">
        <f>L56-M56</f>
        <v>1110252.8306887392</v>
      </c>
      <c r="O56" s="534">
        <f t="shared" si="34"/>
        <v>67196.445518414563</v>
      </c>
      <c r="P56" s="440">
        <f>O56/D56</f>
        <v>1.4922586455573994</v>
      </c>
      <c r="Q56" s="440">
        <f>100*(O56-D56)/D56</f>
        <v>49.225864555739932</v>
      </c>
      <c r="R56" s="518" t="s">
        <v>5281</v>
      </c>
      <c r="S56" s="555">
        <f>C56*D56*Q56/100</f>
        <v>59727463.927705936</v>
      </c>
    </row>
    <row r="57" spans="1:33" ht="19.5" customHeight="1">
      <c r="A57" s="561" t="s">
        <v>7033</v>
      </c>
      <c r="B57" s="527" t="s">
        <v>4134</v>
      </c>
      <c r="C57" s="528">
        <v>2677.2004564473186</v>
      </c>
      <c r="D57" s="529">
        <v>12650.004544277361</v>
      </c>
      <c r="E57" s="495" t="s">
        <v>5594</v>
      </c>
      <c r="F57" s="533">
        <v>145.81425999999999</v>
      </c>
      <c r="G57" s="533" t="s">
        <v>6926</v>
      </c>
      <c r="H57" s="533">
        <v>45.3</v>
      </c>
      <c r="I57" s="533">
        <v>134</v>
      </c>
      <c r="J57" s="534">
        <f t="shared" ref="J57" si="47">C57*D57*0.9912/(F57*1.003631981)</f>
        <v>229381.49309288617</v>
      </c>
      <c r="K57" s="534">
        <f t="shared" ref="K57" si="48">J57*H57*0.99885/(I57*1.003631981-H57*0.99885)</f>
        <v>116306.29593347209</v>
      </c>
      <c r="L57" s="610">
        <f t="shared" ref="L57" si="49">K57+J57</f>
        <v>345687.78902635828</v>
      </c>
      <c r="M57" s="534">
        <f>L57*$O$15*1.00115/($O$20*0.9912)</f>
        <v>40599.758101964566</v>
      </c>
      <c r="N57" s="534">
        <f>L57-M57</f>
        <v>305088.03092439374</v>
      </c>
      <c r="O57" s="534">
        <f t="shared" si="34"/>
        <v>18465.011465554046</v>
      </c>
      <c r="P57" s="440">
        <f>O57/D57</f>
        <v>1.4596841764699042</v>
      </c>
      <c r="Q57" s="440">
        <f>100*(O57-D57)/D57</f>
        <v>45.968417646990424</v>
      </c>
      <c r="R57" s="388" t="s">
        <v>1005</v>
      </c>
      <c r="S57" s="555">
        <f>C57*D57*Q57/100</f>
        <v>15567939.183886258</v>
      </c>
      <c r="AC57" s="353"/>
      <c r="AD57" s="353"/>
      <c r="AE57" s="353"/>
      <c r="AF57" s="353"/>
      <c r="AG57" s="353"/>
    </row>
    <row r="58" spans="1:33" ht="20.25" customHeight="1">
      <c r="A58" s="562" t="s">
        <v>7033</v>
      </c>
      <c r="B58" s="527" t="s">
        <v>4134</v>
      </c>
      <c r="C58" s="528">
        <v>2694.5020920502093</v>
      </c>
      <c r="D58" s="529">
        <v>86194.423804118633</v>
      </c>
      <c r="E58" s="495" t="s">
        <v>5594</v>
      </c>
      <c r="F58" s="533">
        <v>146.25</v>
      </c>
      <c r="G58" s="533" t="s">
        <v>6926</v>
      </c>
      <c r="H58" s="533">
        <v>44.8</v>
      </c>
      <c r="I58" s="533">
        <v>134.5</v>
      </c>
      <c r="J58" s="534">
        <f t="shared" ref="J58" si="50">C58*D58*0.9912/(F58*1.003631981)</f>
        <v>1568370.3478542168</v>
      </c>
      <c r="K58" s="534">
        <f t="shared" ref="K58" si="51">J58*H58*0.99885/(I58*1.003631981-H58*0.99885)</f>
        <v>777727.97501728614</v>
      </c>
      <c r="L58" s="576">
        <f t="shared" ref="L58" si="52">K58+J58</f>
        <v>2346098.322871503</v>
      </c>
      <c r="M58" s="534">
        <f>L58*$O$15*1.00115/($O$20*0.9912)</f>
        <v>275540.61038801976</v>
      </c>
      <c r="N58" s="534">
        <f>L58-M58</f>
        <v>2070557.7124834831</v>
      </c>
      <c r="O58" s="534">
        <f t="shared" si="34"/>
        <v>125317.50847536088</v>
      </c>
      <c r="P58" s="440">
        <f>O58/D58</f>
        <v>1.4538934532488033</v>
      </c>
      <c r="Q58" s="440">
        <f>100*(O58-D58)/D58</f>
        <v>45.389345324880324</v>
      </c>
      <c r="R58" s="518" t="s">
        <v>5281</v>
      </c>
      <c r="S58" s="555">
        <f>C58*D58*Q58/100</f>
        <v>105417233.49411972</v>
      </c>
      <c r="Z58" s="456"/>
      <c r="AC58" s="353"/>
      <c r="AD58" s="353"/>
      <c r="AE58" s="353"/>
      <c r="AF58" s="353"/>
      <c r="AG58" s="353"/>
    </row>
    <row r="59" spans="1:33" ht="23.25">
      <c r="A59" s="559" t="s">
        <v>7034</v>
      </c>
      <c r="B59" s="527" t="s">
        <v>4134</v>
      </c>
      <c r="C59" s="528">
        <v>2678.9306200076076</v>
      </c>
      <c r="D59" s="529">
        <v>10025.374131161236</v>
      </c>
      <c r="E59" s="495" t="s">
        <v>5594</v>
      </c>
      <c r="F59" s="533">
        <v>144.01130000000001</v>
      </c>
      <c r="G59" s="533" t="s">
        <v>6926</v>
      </c>
      <c r="H59" s="533">
        <v>44.5</v>
      </c>
      <c r="I59" s="533">
        <v>137.19999999999999</v>
      </c>
      <c r="J59" s="534">
        <f t="shared" ref="J59:J60" si="53">C59*D59*0.9912/(F59*1.003631981)</f>
        <v>184184.16340616546</v>
      </c>
      <c r="K59" s="534">
        <f t="shared" ref="K59:K60" si="54">J59*H59*0.99885/(I59*1.003631981-H59*0.99885)</f>
        <v>87794.263322273939</v>
      </c>
      <c r="L59" s="572">
        <f t="shared" ref="L59:L60" si="55">K59+J59</f>
        <v>271978.4267284394</v>
      </c>
      <c r="M59" s="534">
        <f>L59*$O$15*1.00115/($O$20*0.9912)</f>
        <v>31942.864875928764</v>
      </c>
      <c r="N59" s="534">
        <f>L59-M59</f>
        <v>240035.56185251064</v>
      </c>
      <c r="O59" s="534">
        <f t="shared" si="34"/>
        <v>14527.804936555211</v>
      </c>
      <c r="P59" s="440">
        <f>O59/D59</f>
        <v>1.4491035193788284</v>
      </c>
      <c r="Q59" s="440">
        <f>100*(O59-D59)/D59</f>
        <v>44.910351937882837</v>
      </c>
      <c r="R59" s="250" t="s">
        <v>7027</v>
      </c>
      <c r="S59" s="555">
        <f>C59*D59*Q59/100</f>
        <v>12061699.749035433</v>
      </c>
      <c r="Z59" s="456"/>
      <c r="AC59" s="353"/>
      <c r="AD59" s="353"/>
      <c r="AE59" s="353"/>
      <c r="AF59" s="353"/>
      <c r="AG59" s="353"/>
    </row>
    <row r="60" spans="1:33" ht="23.25">
      <c r="A60" s="559" t="s">
        <v>7034</v>
      </c>
      <c r="B60" s="527" t="s">
        <v>4134</v>
      </c>
      <c r="C60" s="528">
        <v>2678.9306200076076</v>
      </c>
      <c r="D60" s="529">
        <v>3116.0238972431075</v>
      </c>
      <c r="E60" s="495" t="s">
        <v>5594</v>
      </c>
      <c r="F60" s="533">
        <v>144.01130000000001</v>
      </c>
      <c r="G60" s="533" t="s">
        <v>6926</v>
      </c>
      <c r="H60" s="533">
        <v>44.5</v>
      </c>
      <c r="I60" s="533">
        <v>137.19999999999999</v>
      </c>
      <c r="J60" s="534">
        <f t="shared" si="53"/>
        <v>57246.966263678361</v>
      </c>
      <c r="K60" s="534">
        <f t="shared" si="54"/>
        <v>27287.662183373519</v>
      </c>
      <c r="L60" s="572">
        <f t="shared" si="55"/>
        <v>84534.628447051888</v>
      </c>
      <c r="M60" s="534">
        <f>L60*$O$15*1.00115/($O$20*0.9912)</f>
        <v>9928.2808798550504</v>
      </c>
      <c r="N60" s="534">
        <f>L60-M60</f>
        <v>74606.347567196834</v>
      </c>
      <c r="O60" s="534">
        <f t="shared" si="34"/>
        <v>4515.441195963519</v>
      </c>
      <c r="P60" s="440">
        <f>O60/D60</f>
        <v>1.4491035193788282</v>
      </c>
      <c r="Q60" s="440">
        <f>100*(O60-D60)/D60</f>
        <v>44.910351937882815</v>
      </c>
      <c r="R60" s="250" t="s">
        <v>7027</v>
      </c>
      <c r="S60" s="555">
        <f>C60*D60*Q60/100</f>
        <v>3748941.8517104434</v>
      </c>
      <c r="Z60" s="456"/>
      <c r="AC60" s="353"/>
      <c r="AD60" s="353"/>
      <c r="AE60" s="353"/>
      <c r="AF60" s="353"/>
      <c r="AG60" s="353"/>
    </row>
    <row r="61" spans="1:33" ht="23.25">
      <c r="A61" s="561" t="s">
        <v>7039</v>
      </c>
      <c r="B61" s="527" t="s">
        <v>4134</v>
      </c>
      <c r="C61" s="528">
        <v>2677.2004564473186</v>
      </c>
      <c r="D61" s="529">
        <v>85290.21</v>
      </c>
      <c r="E61" s="495" t="s">
        <v>5594</v>
      </c>
      <c r="F61" s="533">
        <v>144.1</v>
      </c>
      <c r="G61" s="533" t="s">
        <v>6926</v>
      </c>
      <c r="H61" s="533">
        <v>44</v>
      </c>
      <c r="I61" s="533">
        <v>139.9</v>
      </c>
      <c r="J61" s="534">
        <f t="shared" ref="J61" si="56">C61*D61*0.9912/(F61*1.003631981)</f>
        <v>1564958.7507522737</v>
      </c>
      <c r="K61" s="534">
        <f t="shared" ref="K61" si="57">J61*H61*0.99885/(I61*1.003631981-H61*0.99885)</f>
        <v>713040.79400365509</v>
      </c>
      <c r="L61" s="610">
        <f t="shared" ref="L61" si="58">K61+J61</f>
        <v>2277999.5447559287</v>
      </c>
      <c r="M61" s="534">
        <f>L61*$O$15*1.00115/($O$20*0.9912)</f>
        <v>267542.65961770533</v>
      </c>
      <c r="N61" s="534">
        <f>L61-M61</f>
        <v>2010456.8851382234</v>
      </c>
      <c r="O61" s="534">
        <f t="shared" si="34"/>
        <v>121679.992894507</v>
      </c>
      <c r="P61" s="440">
        <f>O61/D61</f>
        <v>1.4266583807743818</v>
      </c>
      <c r="Q61" s="440">
        <f>100*(O61-D61)/D61</f>
        <v>42.665838077438188</v>
      </c>
      <c r="R61" s="388" t="s">
        <v>1005</v>
      </c>
      <c r="S61" s="555">
        <f>C61*D61*Q61/100</f>
        <v>97422743.37519294</v>
      </c>
      <c r="Z61" s="456"/>
      <c r="AC61" s="353"/>
      <c r="AD61" s="353"/>
      <c r="AE61" s="353"/>
      <c r="AF61" s="353"/>
      <c r="AG61" s="353"/>
    </row>
    <row r="62" spans="1:33" ht="24" customHeight="1">
      <c r="A62" s="561" t="s">
        <v>7040</v>
      </c>
      <c r="B62" s="527" t="s">
        <v>4134</v>
      </c>
      <c r="C62" s="528">
        <v>2677.2004564473186</v>
      </c>
      <c r="D62" s="529">
        <v>24329.71</v>
      </c>
      <c r="E62" s="495" t="s">
        <v>5594</v>
      </c>
      <c r="F62" s="533">
        <v>144.1</v>
      </c>
      <c r="G62" s="533" t="s">
        <v>6926</v>
      </c>
      <c r="H62" s="533">
        <v>42</v>
      </c>
      <c r="I62" s="533">
        <v>139.19999999999999</v>
      </c>
      <c r="J62" s="534">
        <f t="shared" ref="J62" si="59">C62*D62*0.9912/(F62*1.003631981)</f>
        <v>446416.91663984768</v>
      </c>
      <c r="K62" s="534">
        <f t="shared" ref="K62" si="60">J62*H62*0.99885/(I62*1.003631981-H62*0.99885)</f>
        <v>191582.67826669145</v>
      </c>
      <c r="L62" s="610">
        <f t="shared" ref="L62" si="61">K62+J62</f>
        <v>637999.59490653919</v>
      </c>
      <c r="M62" s="534">
        <f>L62*$O$15*1.00115/($O$20*0.9912)</f>
        <v>74930.703497836977</v>
      </c>
      <c r="N62" s="534">
        <f>L62-M62</f>
        <v>563068.89140870224</v>
      </c>
      <c r="O62" s="534">
        <f t="shared" si="34"/>
        <v>34078.929626495483</v>
      </c>
      <c r="P62" s="440">
        <f>O62/D62</f>
        <v>1.4007125291051756</v>
      </c>
      <c r="Q62" s="440">
        <f>100*(O62-D62)/D62</f>
        <v>40.071252910517572</v>
      </c>
      <c r="R62" s="388" t="s">
        <v>1005</v>
      </c>
      <c r="S62" s="555">
        <f>C62*D62*Q62/100</f>
        <v>26100615.234058872</v>
      </c>
      <c r="Z62" s="456"/>
      <c r="AC62" s="353"/>
      <c r="AD62" s="353"/>
      <c r="AE62" s="353"/>
      <c r="AF62" s="353"/>
      <c r="AG62" s="353"/>
    </row>
    <row r="63" spans="1:33" ht="23.25">
      <c r="A63" s="559" t="s">
        <v>7056</v>
      </c>
      <c r="B63" s="527" t="s">
        <v>4134</v>
      </c>
      <c r="C63" s="528">
        <v>2678.9306200076076</v>
      </c>
      <c r="D63" s="529">
        <v>28672.210037593984</v>
      </c>
      <c r="E63" s="495" t="s">
        <v>5594</v>
      </c>
      <c r="F63" s="533">
        <v>144.01130000000001</v>
      </c>
      <c r="G63" s="533" t="s">
        <v>6926</v>
      </c>
      <c r="H63" s="533">
        <v>32</v>
      </c>
      <c r="I63" s="533">
        <v>131.80000000000001</v>
      </c>
      <c r="J63" s="534">
        <f t="shared" ref="J63" si="62">C63*D63*0.9912/(F63*1.003631981)</f>
        <v>526760.09390668152</v>
      </c>
      <c r="K63" s="534">
        <f t="shared" ref="K63" si="63">J63*H63*0.99885/(I63*1.003631981-H63*0.99885)</f>
        <v>167839.85582166523</v>
      </c>
      <c r="L63" s="572">
        <f t="shared" ref="L63" si="64">K63+J63</f>
        <v>694599.94972834678</v>
      </c>
      <c r="M63" s="534">
        <f>L63*$O$15*1.00115/($O$20*0.9912)</f>
        <v>81578.206786058508</v>
      </c>
      <c r="N63" s="534">
        <f>L63-M63</f>
        <v>613021.74294228829</v>
      </c>
      <c r="O63" s="534">
        <f t="shared" si="34"/>
        <v>37102.253660250732</v>
      </c>
      <c r="P63" s="440">
        <f>O63/D63</f>
        <v>1.2940144345902731</v>
      </c>
      <c r="Q63" s="440">
        <f>100*(O63-D63)/D63</f>
        <v>29.401443459027305</v>
      </c>
      <c r="R63" s="250" t="s">
        <v>7027</v>
      </c>
      <c r="S63" s="555">
        <f>C63*D63*Q63/100</f>
        <v>22583501.988735016</v>
      </c>
      <c r="Z63" s="456"/>
      <c r="AC63" s="353"/>
      <c r="AD63" s="353"/>
      <c r="AE63" s="353"/>
      <c r="AF63" s="353"/>
      <c r="AG63" s="353"/>
    </row>
    <row r="64" spans="1:33" ht="21.75" customHeight="1">
      <c r="A64" s="562" t="s">
        <v>7056</v>
      </c>
      <c r="B64" s="527" t="s">
        <v>4134</v>
      </c>
      <c r="C64" s="528">
        <v>2694.5020920502093</v>
      </c>
      <c r="D64" s="529">
        <v>174067.15700000001</v>
      </c>
      <c r="E64" s="495" t="s">
        <v>5594</v>
      </c>
      <c r="F64" s="533">
        <v>146.15790000000001</v>
      </c>
      <c r="G64" s="533" t="s">
        <v>6926</v>
      </c>
      <c r="H64" s="533">
        <v>32.5</v>
      </c>
      <c r="I64" s="533">
        <v>131.80000000000001</v>
      </c>
      <c r="J64" s="534">
        <f t="shared" ref="J64" si="65">C64*D64*0.9912/(F64*1.003631981)</f>
        <v>3169274.5883706664</v>
      </c>
      <c r="K64" s="534">
        <f t="shared" ref="K64" si="66">J64*H64*0.99885/(I64*1.003631981-H64*0.99885)</f>
        <v>1030725.5373364507</v>
      </c>
      <c r="L64" s="576">
        <f t="shared" ref="L64" si="67">K64+J64</f>
        <v>4200000.1257071169</v>
      </c>
      <c r="M64" s="534">
        <f>L64*$O$15*1.00115/($O$20*0.9912)</f>
        <v>493274.55161839066</v>
      </c>
      <c r="N64" s="534">
        <f>L64-M64</f>
        <v>3706725.5740887262</v>
      </c>
      <c r="O64" s="534">
        <f t="shared" si="34"/>
        <v>224344.19999312446</v>
      </c>
      <c r="P64" s="440">
        <f>O64/D64</f>
        <v>1.2888370434700926</v>
      </c>
      <c r="Q64" s="440">
        <f>100*(O64-D64)/D64</f>
        <v>28.883704347009274</v>
      </c>
      <c r="R64" s="518" t="s">
        <v>5281</v>
      </c>
      <c r="S64" s="555">
        <f>C64*D64*Q64/100</f>
        <v>135471597.52707219</v>
      </c>
      <c r="W64" s="456"/>
      <c r="X64" s="456"/>
      <c r="Y64" s="456"/>
      <c r="Z64" s="456"/>
      <c r="AC64" s="353"/>
      <c r="AD64" s="353"/>
      <c r="AE64" s="353"/>
      <c r="AF64" s="353"/>
      <c r="AG64" s="353"/>
    </row>
    <row r="65" spans="1:35" ht="23.25">
      <c r="A65" s="562" t="s">
        <v>7057</v>
      </c>
      <c r="B65" s="527" t="s">
        <v>4134</v>
      </c>
      <c r="C65" s="528">
        <v>2694.5020920502093</v>
      </c>
      <c r="D65" s="529">
        <v>16889.779490000001</v>
      </c>
      <c r="E65" s="495" t="s">
        <v>5594</v>
      </c>
      <c r="F65" s="533">
        <v>146.15790000000001</v>
      </c>
      <c r="G65" s="533" t="s">
        <v>6926</v>
      </c>
      <c r="H65" s="533">
        <v>34.9</v>
      </c>
      <c r="I65" s="533">
        <v>131.5</v>
      </c>
      <c r="J65" s="534">
        <f t="shared" ref="J65" si="68">C65*D65*0.9912/(F65*1.003631981)</f>
        <v>307515.50070322043</v>
      </c>
      <c r="K65" s="534">
        <f t="shared" ref="K65" si="69">J65*H65*0.99885/(I65*1.003631981-H65*0.99885)</f>
        <v>110380.9539283515</v>
      </c>
      <c r="L65" s="576">
        <f t="shared" ref="L65" si="70">K65+J65</f>
        <v>417896.45463157195</v>
      </c>
      <c r="M65" s="534">
        <f>L65*$O$15*1.00115/($O$20*0.9912)</f>
        <v>49080.400026559102</v>
      </c>
      <c r="N65" s="534">
        <f>L65-M65</f>
        <v>368816.05460501288</v>
      </c>
      <c r="O65" s="534">
        <f t="shared" si="34"/>
        <v>22322.057854343217</v>
      </c>
      <c r="P65" s="440">
        <f>O65/D65</f>
        <v>1.3216311004865118</v>
      </c>
      <c r="Q65" s="440">
        <f>100*(O65-D65)/D65</f>
        <v>32.163110048651177</v>
      </c>
      <c r="R65" s="518" t="s">
        <v>5281</v>
      </c>
      <c r="S65" s="555">
        <f>C65*D65*Q65/100</f>
        <v>14637285.417321885</v>
      </c>
      <c r="W65" s="456"/>
      <c r="X65" s="456"/>
      <c r="Y65" s="456"/>
      <c r="Z65" s="456"/>
      <c r="AC65" s="353"/>
      <c r="AD65" s="353"/>
      <c r="AE65" s="353"/>
      <c r="AF65" s="353"/>
      <c r="AG65" s="353"/>
    </row>
    <row r="66" spans="1:35" ht="23.25">
      <c r="A66" s="559" t="s">
        <v>7031</v>
      </c>
      <c r="B66" s="235" t="s">
        <v>5139</v>
      </c>
      <c r="C66" s="539">
        <v>861</v>
      </c>
      <c r="D66" s="540">
        <v>1601</v>
      </c>
      <c r="E66" s="495" t="s">
        <v>5594</v>
      </c>
      <c r="F66" s="533">
        <v>143.15</v>
      </c>
      <c r="G66" s="533" t="s">
        <v>6926</v>
      </c>
      <c r="H66" s="533">
        <v>52.7</v>
      </c>
      <c r="I66" s="533">
        <v>143.30000000000001</v>
      </c>
      <c r="J66" s="534">
        <f t="shared" ref="J66" si="71">C66*D66*0.9912/(F66*1.003631981)</f>
        <v>9510.2061827428406</v>
      </c>
      <c r="K66" s="534">
        <f t="shared" ref="K66" si="72">J66*H66*0.99885/(I66*1.003631981-H66*0.99885)</f>
        <v>5490.3009082817762</v>
      </c>
      <c r="L66" s="572">
        <f t="shared" ref="L66" si="73">K66+J66</f>
        <v>15000.507091024618</v>
      </c>
      <c r="M66" s="534">
        <f>L66*$O$15*1.00115/($O$20*0.9912)</f>
        <v>1761.7543304544288</v>
      </c>
      <c r="N66" s="534">
        <f>L66-M66</f>
        <v>13238.752760570189</v>
      </c>
      <c r="O66" s="534">
        <f t="shared" ref="O66:O71" si="74">N66*$O$20*0.9912/($O$23*1.003631981)</f>
        <v>1974.2947692955127</v>
      </c>
      <c r="P66" s="440">
        <f>O66/D66</f>
        <v>1.2331635036199329</v>
      </c>
      <c r="Q66" s="440">
        <f>100*(O66-D66)/D66</f>
        <v>23.316350361993297</v>
      </c>
      <c r="R66" s="250" t="s">
        <v>7027</v>
      </c>
      <c r="S66" s="555">
        <f>C66*D66*Q66/100</f>
        <v>321406.79636343644</v>
      </c>
      <c r="W66" s="456"/>
      <c r="X66" s="456"/>
      <c r="Y66" s="456"/>
      <c r="Z66" s="456"/>
      <c r="AC66" s="353"/>
      <c r="AD66" s="353"/>
      <c r="AE66" s="353"/>
      <c r="AF66" s="353"/>
      <c r="AG66" s="353"/>
    </row>
    <row r="67" spans="1:35" ht="25.5" customHeight="1">
      <c r="A67" s="562" t="s">
        <v>7033</v>
      </c>
      <c r="B67" s="235" t="s">
        <v>5139</v>
      </c>
      <c r="C67" s="539">
        <v>861</v>
      </c>
      <c r="D67" s="540">
        <v>33686.129999999997</v>
      </c>
      <c r="E67" s="495" t="s">
        <v>5594</v>
      </c>
      <c r="F67" s="533">
        <v>142.4</v>
      </c>
      <c r="G67" s="533" t="s">
        <v>6926</v>
      </c>
      <c r="H67" s="533">
        <v>44.8</v>
      </c>
      <c r="I67" s="533">
        <v>134.5</v>
      </c>
      <c r="J67" s="534">
        <f t="shared" ref="J67" si="75">C67*D67*0.9912/(F67*1.003631981)</f>
        <v>201155.11672603193</v>
      </c>
      <c r="K67" s="534">
        <f t="shared" ref="K67" si="76">J67*H67*0.99885/(I67*1.003631981-H67*0.99885)</f>
        <v>99749.374763265048</v>
      </c>
      <c r="L67" s="576">
        <f t="shared" ref="L67" si="77">K67+J67</f>
        <v>300904.49148929701</v>
      </c>
      <c r="M67" s="534">
        <f>L67*$O$15*1.00115/($O$20*0.9912)</f>
        <v>35340.124684961345</v>
      </c>
      <c r="N67" s="534">
        <f>L67-M67</f>
        <v>265564.36680433567</v>
      </c>
      <c r="O67" s="534">
        <f t="shared" si="74"/>
        <v>39603.605398133688</v>
      </c>
      <c r="P67" s="440">
        <f>O67/D67</f>
        <v>1.1756650407195393</v>
      </c>
      <c r="Q67" s="440">
        <f>100*(O67-D67)/D67</f>
        <v>17.566504071953918</v>
      </c>
      <c r="R67" s="518" t="s">
        <v>5281</v>
      </c>
      <c r="S67" s="555">
        <f>C67*D67*Q67/100</f>
        <v>5094946.3177931067</v>
      </c>
      <c r="W67" s="456"/>
      <c r="X67" s="456"/>
      <c r="Y67" s="456"/>
      <c r="Z67" s="456"/>
      <c r="AC67" s="353"/>
      <c r="AD67" s="353"/>
      <c r="AE67" s="353"/>
      <c r="AF67" s="353"/>
      <c r="AG67" s="353"/>
    </row>
    <row r="68" spans="1:35" ht="23.25">
      <c r="A68" s="559" t="s">
        <v>7034</v>
      </c>
      <c r="B68" s="235" t="s">
        <v>5139</v>
      </c>
      <c r="C68" s="539">
        <v>861</v>
      </c>
      <c r="D68" s="540">
        <v>5983.7</v>
      </c>
      <c r="E68" s="495" t="s">
        <v>5594</v>
      </c>
      <c r="F68" s="533">
        <v>143.15</v>
      </c>
      <c r="G68" s="533" t="s">
        <v>6926</v>
      </c>
      <c r="H68" s="533">
        <v>44.5</v>
      </c>
      <c r="I68" s="533">
        <v>137.19999999999999</v>
      </c>
      <c r="J68" s="534">
        <f t="shared" ref="J68" si="78">C68*D68*0.9912/(F68*1.003631981)</f>
        <v>35544.172851766605</v>
      </c>
      <c r="K68" s="534">
        <f t="shared" ref="K68" si="79">J68*H68*0.99885/(I68*1.003631981-H68*0.99885)</f>
        <v>16942.686131157127</v>
      </c>
      <c r="L68" s="572">
        <f t="shared" ref="L68" si="80">K68+J68</f>
        <v>52486.858982923732</v>
      </c>
      <c r="M68" s="534">
        <f>L68*$O$15*1.00115/($O$20*0.9912)</f>
        <v>6164.3883466076004</v>
      </c>
      <c r="N68" s="534">
        <f>L68-M68</f>
        <v>46322.470636316131</v>
      </c>
      <c r="O68" s="534">
        <f t="shared" si="74"/>
        <v>6908.0685418121684</v>
      </c>
      <c r="P68" s="440">
        <f>O68/D68</f>
        <v>1.1544810972829802</v>
      </c>
      <c r="Q68" s="440">
        <f>100*(O68-D68)/D68</f>
        <v>15.44810972829802</v>
      </c>
      <c r="R68" s="250" t="s">
        <v>7027</v>
      </c>
      <c r="S68" s="555">
        <f>C68*D68*Q68/100</f>
        <v>795881.31450027716</v>
      </c>
      <c r="W68" s="456"/>
      <c r="X68" s="456"/>
      <c r="Y68" s="456"/>
      <c r="Z68" s="456"/>
      <c r="AC68" s="353"/>
      <c r="AD68" s="353"/>
      <c r="AE68" s="353"/>
      <c r="AF68" s="353"/>
      <c r="AG68" s="353"/>
    </row>
    <row r="69" spans="1:35" ht="23.25">
      <c r="A69" s="561" t="s">
        <v>7034</v>
      </c>
      <c r="B69" s="235" t="s">
        <v>5139</v>
      </c>
      <c r="C69" s="539">
        <v>861</v>
      </c>
      <c r="D69" s="540">
        <v>3777</v>
      </c>
      <c r="E69" s="495" t="s">
        <v>5594</v>
      </c>
      <c r="F69" s="533">
        <v>142.4</v>
      </c>
      <c r="G69" s="533" t="s">
        <v>6926</v>
      </c>
      <c r="H69" s="533">
        <v>44</v>
      </c>
      <c r="I69" s="533">
        <v>135.6</v>
      </c>
      <c r="J69" s="534">
        <f t="shared" ref="J69" si="81">C69*D69*0.9912/(F69*1.003631981)</f>
        <v>22554.175141941883</v>
      </c>
      <c r="K69" s="534">
        <f t="shared" ref="K69" si="82">J69*H69*0.99885/(I69*1.003631981-H69*0.99885)</f>
        <v>10757.642203326823</v>
      </c>
      <c r="L69" s="610">
        <f t="shared" ref="L69" si="83">K69+J69</f>
        <v>33311.817345268704</v>
      </c>
      <c r="M69" s="534">
        <f>L69*$O$15*1.00115/($O$20*0.9912)</f>
        <v>3912.3503030406837</v>
      </c>
      <c r="N69" s="534">
        <f>L69-M69</f>
        <v>29399.467042228021</v>
      </c>
      <c r="O69" s="534">
        <f t="shared" si="74"/>
        <v>4384.3415653489928</v>
      </c>
      <c r="P69" s="440">
        <f>O69/D69</f>
        <v>1.1607999908257858</v>
      </c>
      <c r="Q69" s="440">
        <f>100*(O69-D69)/D69</f>
        <v>16.079999082578578</v>
      </c>
      <c r="R69" s="388" t="s">
        <v>1005</v>
      </c>
      <c r="S69" s="555">
        <f>C69*D69*Q69/100</f>
        <v>522921.08776548289</v>
      </c>
      <c r="X69" s="456"/>
      <c r="Y69" s="456"/>
      <c r="Z69" s="456"/>
      <c r="AA69" s="456"/>
      <c r="AB69" s="456"/>
      <c r="AE69" s="353"/>
      <c r="AF69" s="353"/>
      <c r="AG69" s="353"/>
      <c r="AH69" s="353"/>
      <c r="AI69" s="353"/>
    </row>
    <row r="70" spans="1:35" ht="23.25">
      <c r="A70" s="559" t="s">
        <v>7038</v>
      </c>
      <c r="B70" s="235" t="s">
        <v>5139</v>
      </c>
      <c r="C70" s="539">
        <v>861</v>
      </c>
      <c r="D70" s="540">
        <v>12024.2</v>
      </c>
      <c r="E70" s="495" t="s">
        <v>5594</v>
      </c>
      <c r="F70" s="533">
        <v>143.15</v>
      </c>
      <c r="G70" s="533" t="s">
        <v>6926</v>
      </c>
      <c r="H70" s="533">
        <v>46</v>
      </c>
      <c r="I70" s="533">
        <v>137.69999999999999</v>
      </c>
      <c r="J70" s="534">
        <f t="shared" ref="J70" si="84">C70*D70*0.9912/(F70*1.003631981)</f>
        <v>71425.747147118338</v>
      </c>
      <c r="K70" s="534">
        <f t="shared" ref="K70" si="85">J70*H70*0.99885/(I70*1.003631981-H70*0.99885)</f>
        <v>35573.966165466947</v>
      </c>
      <c r="L70" s="572">
        <f t="shared" ref="L70" si="86">K70+J70</f>
        <v>106999.71331258529</v>
      </c>
      <c r="M70" s="534">
        <f>L70*$O$15*1.00115/($O$20*0.9912)</f>
        <v>12566.722387579859</v>
      </c>
      <c r="N70" s="534">
        <f>L70-M70</f>
        <v>94432.990925005433</v>
      </c>
      <c r="O70" s="534">
        <f t="shared" si="74"/>
        <v>14082.78887022126</v>
      </c>
      <c r="P70" s="440">
        <f>O70/D70</f>
        <v>1.1712038114985828</v>
      </c>
      <c r="Q70" s="440">
        <f>100*(O70-D70)/D70</f>
        <v>17.120381149858282</v>
      </c>
      <c r="R70" s="250" t="s">
        <v>7027</v>
      </c>
      <c r="S70" s="555">
        <f>C70*D70*Q70/100</f>
        <v>1772445.0172605047</v>
      </c>
      <c r="X70" s="456"/>
      <c r="Y70" s="456"/>
      <c r="Z70" s="456"/>
      <c r="AA70" s="456"/>
      <c r="AB70" s="456"/>
      <c r="AE70" s="353"/>
      <c r="AF70" s="353"/>
      <c r="AG70" s="353"/>
      <c r="AH70" s="353"/>
      <c r="AI70" s="353"/>
    </row>
    <row r="71" spans="1:35" ht="23.25">
      <c r="A71" s="562" t="s">
        <v>7057</v>
      </c>
      <c r="B71" s="235" t="s">
        <v>5139</v>
      </c>
      <c r="C71" s="539">
        <v>861</v>
      </c>
      <c r="D71" s="540">
        <v>44593</v>
      </c>
      <c r="E71" s="495" t="s">
        <v>5594</v>
      </c>
      <c r="F71" s="533">
        <v>142.4</v>
      </c>
      <c r="G71" s="533" t="s">
        <v>6926</v>
      </c>
      <c r="H71" s="533">
        <v>34.9</v>
      </c>
      <c r="I71" s="533">
        <v>131.5</v>
      </c>
      <c r="J71" s="534">
        <f t="shared" ref="J71" si="87">C71*D71*0.9912/(F71*1.003631981)</f>
        <v>266284.97010977351</v>
      </c>
      <c r="K71" s="534">
        <f t="shared" ref="K71" si="88">J71*H71*0.99885/(I71*1.003631981-H71*0.99885)</f>
        <v>95581.487600737251</v>
      </c>
      <c r="L71" s="576">
        <f t="shared" ref="L71" si="89">K71+J71</f>
        <v>361866.45771051076</v>
      </c>
      <c r="M71" s="534">
        <f>L71*$O$15*1.00115/($O$20*0.9912)</f>
        <v>42499.883173892791</v>
      </c>
      <c r="N71" s="534">
        <f>L71-M71</f>
        <v>319366.57453661796</v>
      </c>
      <c r="O71" s="534">
        <f t="shared" si="74"/>
        <v>47627.126890185529</v>
      </c>
      <c r="P71" s="440">
        <f>O71/D71</f>
        <v>1.0680404298922594</v>
      </c>
      <c r="Q71" s="440">
        <f>100*(O71-D71)/D71</f>
        <v>6.8040429892259526</v>
      </c>
      <c r="R71" s="518" t="s">
        <v>5281</v>
      </c>
      <c r="S71" s="555">
        <f>C71*D71*Q71/100</f>
        <v>2612383.2524497407</v>
      </c>
      <c r="X71" s="456"/>
      <c r="Y71" s="456"/>
      <c r="Z71" s="456"/>
      <c r="AA71" s="456"/>
      <c r="AB71" s="456"/>
      <c r="AE71" s="353"/>
      <c r="AF71" s="353"/>
      <c r="AG71" s="353"/>
      <c r="AH71" s="353"/>
      <c r="AI71" s="353"/>
    </row>
    <row r="72" spans="1:35" ht="21" customHeight="1">
      <c r="A72" s="561" t="s">
        <v>7038</v>
      </c>
      <c r="B72" s="566" t="s">
        <v>7030</v>
      </c>
      <c r="C72" s="567">
        <v>1</v>
      </c>
      <c r="D72" s="535">
        <v>2627381</v>
      </c>
      <c r="E72" s="495" t="s">
        <v>5594</v>
      </c>
      <c r="F72" s="533">
        <v>142</v>
      </c>
      <c r="G72" s="533" t="s">
        <v>6926</v>
      </c>
      <c r="H72" s="533">
        <v>47.5</v>
      </c>
      <c r="I72" s="533">
        <v>138.4</v>
      </c>
      <c r="J72" s="534">
        <f t="shared" ref="J72:J73" si="90">C72*D72/(F72*1.003631981)</f>
        <v>18435.724896047876</v>
      </c>
      <c r="K72" s="534">
        <f t="shared" ref="K72:K77" si="91">J72*H72*0.99885/(I72*1.003631981-H72*0.99885)</f>
        <v>9563.916336206983</v>
      </c>
      <c r="L72" s="611">
        <f t="shared" ref="L72:L77" si="92">K72+J72</f>
        <v>27999.641232254857</v>
      </c>
      <c r="M72" s="534">
        <f>L72*$O$15*1.00115/($O$20*0.9912)</f>
        <v>3288.4547764128924</v>
      </c>
      <c r="N72" s="534">
        <f>L72-M72</f>
        <v>24711.186455841966</v>
      </c>
      <c r="O72" s="534">
        <f t="shared" ref="O72:O75" si="93">N72*$O$20*0.9912</f>
        <v>3159690.9139389419</v>
      </c>
      <c r="P72" s="440">
        <f>O72/D72</f>
        <v>1.2026009604008485</v>
      </c>
      <c r="Q72" s="440">
        <f>100*(O72-D72)/D72</f>
        <v>20.260096040084857</v>
      </c>
      <c r="R72" s="388" t="s">
        <v>7084</v>
      </c>
      <c r="S72" s="555">
        <f>C72*D72*Q72/100</f>
        <v>532309.9139389419</v>
      </c>
      <c r="X72" s="456"/>
      <c r="Y72" s="456"/>
      <c r="Z72" s="456"/>
      <c r="AA72" s="456"/>
      <c r="AB72" s="456"/>
      <c r="AE72" s="353"/>
      <c r="AF72" s="353"/>
      <c r="AG72" s="353"/>
      <c r="AH72" s="353"/>
      <c r="AI72" s="353"/>
    </row>
    <row r="73" spans="1:35" ht="23.25">
      <c r="A73" s="559" t="s">
        <v>7039</v>
      </c>
      <c r="B73" s="566" t="s">
        <v>7030</v>
      </c>
      <c r="C73" s="567">
        <v>1</v>
      </c>
      <c r="D73" s="535">
        <v>3777200</v>
      </c>
      <c r="E73" s="495" t="s">
        <v>5594</v>
      </c>
      <c r="F73" s="533">
        <v>142</v>
      </c>
      <c r="G73" s="533" t="s">
        <v>6926</v>
      </c>
      <c r="H73" s="533">
        <v>47.7</v>
      </c>
      <c r="I73" s="533">
        <v>140.69999999999999</v>
      </c>
      <c r="J73" s="534">
        <f t="shared" si="90"/>
        <v>26503.738923799796</v>
      </c>
      <c r="K73" s="534">
        <f t="shared" si="91"/>
        <v>13496.100878178824</v>
      </c>
      <c r="L73" s="572">
        <f t="shared" si="92"/>
        <v>39999.839801978618</v>
      </c>
      <c r="M73" s="534">
        <f>L73*$O$15*1.00115/($O$20*0.9912)</f>
        <v>4697.8339172803089</v>
      </c>
      <c r="N73" s="534">
        <f>L73-M73</f>
        <v>35302.005884698308</v>
      </c>
      <c r="O73" s="534">
        <f t="shared" si="93"/>
        <v>4513883.922045772</v>
      </c>
      <c r="P73" s="440">
        <f>O73/D73</f>
        <v>1.1950343963903876</v>
      </c>
      <c r="Q73" s="440">
        <f>100*(O73-D73)/D73</f>
        <v>19.503439639038756</v>
      </c>
      <c r="R73" s="250" t="s">
        <v>7027</v>
      </c>
      <c r="S73" s="555">
        <f>C73*D73*Q73/100</f>
        <v>736683.92204577196</v>
      </c>
      <c r="X73" s="456"/>
      <c r="Y73" s="456"/>
      <c r="Z73" s="456"/>
      <c r="AA73" s="456"/>
      <c r="AB73" s="456"/>
      <c r="AE73" s="353"/>
      <c r="AF73" s="353"/>
      <c r="AG73" s="353"/>
      <c r="AH73" s="353"/>
      <c r="AI73" s="353"/>
    </row>
    <row r="74" spans="1:35" ht="23.25">
      <c r="A74" s="559" t="s">
        <v>7056</v>
      </c>
      <c r="B74" s="566" t="s">
        <v>7030</v>
      </c>
      <c r="C74" s="567">
        <v>1</v>
      </c>
      <c r="D74" s="535">
        <v>7358200</v>
      </c>
      <c r="E74" s="495" t="s">
        <v>5594</v>
      </c>
      <c r="F74" s="533">
        <v>144.01130000000001</v>
      </c>
      <c r="G74" s="533" t="s">
        <v>6926</v>
      </c>
      <c r="H74" s="533">
        <v>32</v>
      </c>
      <c r="I74" s="533">
        <v>131.80000000000001</v>
      </c>
      <c r="J74" s="534">
        <f t="shared" ref="J74" si="94">C74*D74/(F74*1.003631981)</f>
        <v>50909.698546343614</v>
      </c>
      <c r="K74" s="534">
        <f t="shared" ref="K74" si="95">J74*H74*0.99885/(I74*1.003631981-H74*0.99885)</f>
        <v>16221.191701466454</v>
      </c>
      <c r="L74" s="572">
        <f t="shared" ref="L74" si="96">K74+J74</f>
        <v>67130.890247810064</v>
      </c>
      <c r="M74" s="534">
        <f>L74*$O$15*1.00115/($O$20*0.9912)</f>
        <v>7884.2759037195983</v>
      </c>
      <c r="N74" s="534">
        <f>L74-M74</f>
        <v>59246.614344090463</v>
      </c>
      <c r="O74" s="534">
        <f t="shared" si="93"/>
        <v>7575556.4937842581</v>
      </c>
      <c r="P74" s="440">
        <f>O74/D74</f>
        <v>1.0295393566068138</v>
      </c>
      <c r="Q74" s="440">
        <f>100*(O74-D74)/D74</f>
        <v>2.9539356606813914</v>
      </c>
      <c r="R74" s="250" t="s">
        <v>7027</v>
      </c>
      <c r="S74" s="555">
        <f>C74*D74*Q74/100</f>
        <v>217356.49378425814</v>
      </c>
      <c r="X74" s="456"/>
      <c r="Y74" s="456"/>
      <c r="Z74" s="456"/>
      <c r="AA74" s="456"/>
      <c r="AB74" s="456"/>
      <c r="AE74" s="353"/>
      <c r="AF74" s="353"/>
      <c r="AG74" s="353"/>
      <c r="AH74" s="353"/>
      <c r="AI74" s="353"/>
    </row>
    <row r="75" spans="1:35" ht="21" customHeight="1">
      <c r="A75" s="562" t="s">
        <v>7057</v>
      </c>
      <c r="B75" s="566" t="s">
        <v>7030</v>
      </c>
      <c r="C75" s="567">
        <v>1</v>
      </c>
      <c r="D75" s="535">
        <v>33843807</v>
      </c>
      <c r="E75" s="495" t="s">
        <v>5594</v>
      </c>
      <c r="F75" s="533">
        <v>144.01130000000001</v>
      </c>
      <c r="G75" s="533" t="s">
        <v>6926</v>
      </c>
      <c r="H75" s="533">
        <v>34.9</v>
      </c>
      <c r="I75" s="533">
        <v>131.5</v>
      </c>
      <c r="J75" s="534">
        <f t="shared" ref="J75" si="97">C75*D75/(F75*1.003631981)</f>
        <v>234157.5401634413</v>
      </c>
      <c r="K75" s="534">
        <f t="shared" ref="K75" si="98">J75*H75*0.99885/(I75*1.003631981-H75*0.99885)</f>
        <v>84049.527889331075</v>
      </c>
      <c r="L75" s="576">
        <f t="shared" ref="L75" si="99">K75+J75</f>
        <v>318207.06805277237</v>
      </c>
      <c r="M75" s="534">
        <f>L75*$O$15*1.00115/($O$20*0.9912)</f>
        <v>37372.248599422957</v>
      </c>
      <c r="N75" s="534">
        <f>L75-M75</f>
        <v>280834.8194533494</v>
      </c>
      <c r="O75" s="534">
        <f t="shared" si="93"/>
        <v>35908888.02243863</v>
      </c>
      <c r="P75" s="440">
        <f>O75/D75</f>
        <v>1.0610179883852497</v>
      </c>
      <c r="Q75" s="440">
        <f>100*(O75-D75)/D75</f>
        <v>6.1017988385249637</v>
      </c>
      <c r="R75" s="518" t="s">
        <v>5281</v>
      </c>
      <c r="S75" s="555">
        <f>C75*D75*Q75/100</f>
        <v>2065081.0224386305</v>
      </c>
      <c r="X75" s="456"/>
      <c r="Y75" s="456"/>
      <c r="Z75" s="456"/>
      <c r="AA75" s="456"/>
      <c r="AB75" s="456"/>
      <c r="AE75" s="353"/>
      <c r="AF75" s="353"/>
      <c r="AG75" s="353"/>
      <c r="AH75" s="353"/>
      <c r="AI75" s="353"/>
    </row>
    <row r="76" spans="1:35" ht="23.25">
      <c r="A76" s="562" t="s">
        <v>6944</v>
      </c>
      <c r="B76" s="527" t="s">
        <v>4134</v>
      </c>
      <c r="C76" s="528">
        <v>2694.5020920502093</v>
      </c>
      <c r="D76" s="529">
        <v>41817.039712656639</v>
      </c>
      <c r="E76" s="555" t="s">
        <v>5594</v>
      </c>
      <c r="F76" s="555">
        <v>146.25</v>
      </c>
      <c r="G76" s="555" t="s">
        <v>6947</v>
      </c>
      <c r="H76" s="555">
        <v>28</v>
      </c>
      <c r="I76" s="555">
        <v>146.25</v>
      </c>
      <c r="J76" s="556">
        <f>C76*D76*0.9912/(F76*1.003631981)</f>
        <v>760891.50812606339</v>
      </c>
      <c r="K76" s="556">
        <f t="shared" si="91"/>
        <v>179108.29587261379</v>
      </c>
      <c r="L76" s="576">
        <f t="shared" si="92"/>
        <v>939999.80399867718</v>
      </c>
      <c r="M76" s="556">
        <f>L76*$O$14*1.00115/($O$20*0.9912)</f>
        <v>9567.9580690327457</v>
      </c>
      <c r="N76" s="556">
        <f>L76-M76</f>
        <v>930431.84592964442</v>
      </c>
      <c r="O76" s="556">
        <f>N76*$O$20*0.9912/($O$22*1.003631981)</f>
        <v>56313.040701570877</v>
      </c>
      <c r="P76" s="440">
        <f>O76/D76</f>
        <v>1.3466529694240115</v>
      </c>
      <c r="Q76" s="440">
        <f>100*(O76-D76)/D76</f>
        <v>34.665296942401156</v>
      </c>
      <c r="R76" s="518" t="s">
        <v>5281</v>
      </c>
      <c r="S76" s="555">
        <f>C76*D76*Q76/100</f>
        <v>39059504.990991324</v>
      </c>
      <c r="X76" s="456"/>
      <c r="Y76" s="456"/>
      <c r="Z76" s="456"/>
      <c r="AA76" s="456"/>
      <c r="AB76" s="456"/>
      <c r="AE76" s="353"/>
      <c r="AF76" s="353"/>
      <c r="AG76" s="353"/>
      <c r="AH76" s="353"/>
      <c r="AI76" s="353"/>
    </row>
    <row r="77" spans="1:35" ht="23.25">
      <c r="A77" s="559" t="s">
        <v>7023</v>
      </c>
      <c r="B77" s="527" t="s">
        <v>4134</v>
      </c>
      <c r="C77" s="528">
        <v>2678.9306200076076</v>
      </c>
      <c r="D77" s="529">
        <v>19167.320802005012</v>
      </c>
      <c r="E77" s="555" t="s">
        <v>5594</v>
      </c>
      <c r="F77" s="555">
        <v>144.0112</v>
      </c>
      <c r="G77" s="555" t="s">
        <v>6947</v>
      </c>
      <c r="H77" s="555">
        <v>34.9</v>
      </c>
      <c r="I77" s="555">
        <v>154.80000000000001</v>
      </c>
      <c r="J77" s="556">
        <f>C77*D77*0.9912/(F77*1.003631981)</f>
        <v>352138.41916384373</v>
      </c>
      <c r="K77" s="556">
        <f t="shared" si="91"/>
        <v>101869.35074887099</v>
      </c>
      <c r="L77" s="573">
        <f t="shared" si="92"/>
        <v>454007.76991271472</v>
      </c>
      <c r="M77" s="556">
        <f>L77*$O$14*1.00115/($O$20*0.9912)</f>
        <v>4621.2002247885948</v>
      </c>
      <c r="N77" s="556">
        <f>L77-M77</f>
        <v>449386.56968792615</v>
      </c>
      <c r="O77" s="556">
        <f>N77*$O$20*0.9912/($O$22*1.003631981)</f>
        <v>27198.471656234633</v>
      </c>
      <c r="P77" s="440">
        <f>O77/D77</f>
        <v>1.419002266262978</v>
      </c>
      <c r="Q77" s="440">
        <f>100*(O77-D77)/D77</f>
        <v>41.900226626297808</v>
      </c>
      <c r="R77" s="250" t="s">
        <v>7027</v>
      </c>
      <c r="S77" s="555">
        <f>C77*D77*Q77/100</f>
        <v>21514895.937295988</v>
      </c>
      <c r="X77" s="456"/>
      <c r="Y77" s="456"/>
      <c r="Z77" s="456"/>
      <c r="AA77" s="456"/>
      <c r="AB77" s="456"/>
      <c r="AE77" s="353"/>
      <c r="AF77" s="353"/>
      <c r="AG77" s="353"/>
      <c r="AH77" s="353"/>
      <c r="AI77" s="353"/>
    </row>
    <row r="78" spans="1:35" ht="23.25">
      <c r="A78" s="562" t="s">
        <v>7032</v>
      </c>
      <c r="B78" s="527" t="s">
        <v>4134</v>
      </c>
      <c r="C78" s="528">
        <v>2694.5020920502093</v>
      </c>
      <c r="D78" s="529">
        <v>10839.837013366749</v>
      </c>
      <c r="E78" s="555" t="s">
        <v>5594</v>
      </c>
      <c r="F78" s="555">
        <v>146.25</v>
      </c>
      <c r="G78" s="555" t="s">
        <v>6947</v>
      </c>
      <c r="H78" s="555">
        <v>29.9</v>
      </c>
      <c r="I78" s="555">
        <v>141</v>
      </c>
      <c r="J78" s="556">
        <f t="shared" ref="J78" si="100">C78*D78*0.9912/(F78*1.003631981)</f>
        <v>197238.73305276007</v>
      </c>
      <c r="K78" s="556">
        <f t="shared" ref="K78" si="101">J78*H78*0.99885/(I78*1.003631981-H78*0.99885)</f>
        <v>52761.675144989407</v>
      </c>
      <c r="L78" s="576">
        <f t="shared" ref="L78" si="102">K78+J78</f>
        <v>250000.40819774946</v>
      </c>
      <c r="M78" s="556">
        <f>L78*$O$14*1.00115/($O$20*0.9912)</f>
        <v>2544.6743847198754</v>
      </c>
      <c r="N78" s="556">
        <f>L78-M78</f>
        <v>247455.7338130296</v>
      </c>
      <c r="O78" s="556">
        <f>N78*$O$20*0.9912/($O$22*1.003631981)</f>
        <v>14976.900103980246</v>
      </c>
      <c r="P78" s="440">
        <f>O78/D78</f>
        <v>1.3816536250048805</v>
      </c>
      <c r="Q78" s="440">
        <f>100*(O78-D78)/D78</f>
        <v>38.165362500488051</v>
      </c>
      <c r="R78" s="518" t="s">
        <v>5281</v>
      </c>
      <c r="S78" s="555">
        <f>C78*D78*Q78/100</f>
        <v>11147325.152601773</v>
      </c>
      <c r="X78" s="456"/>
      <c r="Y78" s="456"/>
      <c r="Z78" s="456"/>
      <c r="AA78" s="456"/>
      <c r="AB78" s="456"/>
      <c r="AE78" s="353"/>
      <c r="AF78" s="353"/>
      <c r="AG78" s="353"/>
      <c r="AH78" s="353"/>
      <c r="AI78" s="353"/>
    </row>
    <row r="79" spans="1:35" ht="23.25">
      <c r="A79" s="561" t="s">
        <v>7039</v>
      </c>
      <c r="B79" s="527" t="s">
        <v>4134</v>
      </c>
      <c r="C79" s="528">
        <v>2677.2004564473186</v>
      </c>
      <c r="D79" s="529">
        <v>2081.29</v>
      </c>
      <c r="E79" s="555" t="s">
        <v>5594</v>
      </c>
      <c r="F79" s="555">
        <v>145.81425999999999</v>
      </c>
      <c r="G79" s="555" t="s">
        <v>6947</v>
      </c>
      <c r="H79" s="555">
        <v>20</v>
      </c>
      <c r="I79" s="555">
        <v>139.9</v>
      </c>
      <c r="J79" s="556">
        <f t="shared" ref="J79" si="103">C79*D79*0.9912/(F79*1.003631981)</f>
        <v>37739.860573826008</v>
      </c>
      <c r="K79" s="556">
        <f t="shared" ref="K79" si="104">J79*H79*0.99885/(I79*1.003631981-H79*0.99885)</f>
        <v>6260.2525938188401</v>
      </c>
      <c r="L79" s="576">
        <f t="shared" ref="L79" si="105">K79+J79</f>
        <v>44000.113167644849</v>
      </c>
      <c r="M79" s="556">
        <f>L79*$O$14*1.00115/($O$20*0.9912)</f>
        <v>447.86311234306811</v>
      </c>
      <c r="N79" s="556">
        <f>L79-M79</f>
        <v>43552.250055301782</v>
      </c>
      <c r="O79" s="556">
        <f>N79*$O$20*0.9912/($O$22*1.003631981)</f>
        <v>2635.9368939685396</v>
      </c>
      <c r="P79" s="440">
        <f>O79/D79</f>
        <v>1.2664918843450648</v>
      </c>
      <c r="Q79" s="440">
        <f>100*(O79-D79)/D79</f>
        <v>26.649188434506467</v>
      </c>
      <c r="R79" s="388" t="s">
        <v>1005</v>
      </c>
      <c r="S79" s="555">
        <f>C79*D79*Q79/100</f>
        <v>1484900.9176996618</v>
      </c>
      <c r="X79" s="456"/>
      <c r="Y79" s="456"/>
      <c r="Z79" s="456"/>
      <c r="AA79" s="456"/>
      <c r="AB79" s="456"/>
      <c r="AE79" s="353"/>
      <c r="AF79" s="353"/>
      <c r="AG79" s="353"/>
      <c r="AH79" s="353"/>
      <c r="AI79" s="353"/>
    </row>
    <row r="80" spans="1:35" ht="23.25">
      <c r="A80" s="562" t="s">
        <v>7056</v>
      </c>
      <c r="B80" s="527" t="s">
        <v>4134</v>
      </c>
      <c r="C80" s="528">
        <v>2694.5020920502093</v>
      </c>
      <c r="D80" s="529">
        <v>40853.06</v>
      </c>
      <c r="E80" s="555" t="s">
        <v>5594</v>
      </c>
      <c r="F80" s="555">
        <v>146.15790000000001</v>
      </c>
      <c r="G80" s="555" t="s">
        <v>6947</v>
      </c>
      <c r="H80" s="555">
        <v>9.3000000000000007</v>
      </c>
      <c r="I80" s="555">
        <v>131.80000000000001</v>
      </c>
      <c r="J80" s="556">
        <f t="shared" ref="J80" si="106">C80*D80*0.9912/(F80*1.003631981)</f>
        <v>743819.61046897632</v>
      </c>
      <c r="K80" s="556">
        <f t="shared" ref="K80" si="107">J80*H80*0.99885/(I80*1.003631981-H80*0.99885)</f>
        <v>56180.189374428563</v>
      </c>
      <c r="L80" s="576">
        <f t="shared" ref="L80" si="108">K80+J80</f>
        <v>799999.79984340491</v>
      </c>
      <c r="M80" s="556">
        <f>L80*$O$14*1.00115/($O$20*0.9912)</f>
        <v>8142.942698046626</v>
      </c>
      <c r="N80" s="556">
        <f>L80-M80</f>
        <v>791856.85714535823</v>
      </c>
      <c r="O80" s="556">
        <f>N80*$O$20*0.9912/($O$22*1.003631981)</f>
        <v>47925.990088710285</v>
      </c>
      <c r="P80" s="440">
        <f>O80/D80</f>
        <v>1.17313097449029</v>
      </c>
      <c r="Q80" s="440">
        <f>100*(O80-D80)/D80</f>
        <v>17.313097449029001</v>
      </c>
      <c r="R80" s="518" t="s">
        <v>5281</v>
      </c>
      <c r="S80" s="555">
        <f>C80*D80*Q80/100</f>
        <v>19058024.920954742</v>
      </c>
      <c r="V80" s="548"/>
      <c r="W80" s="456"/>
      <c r="X80" s="456"/>
      <c r="Y80" s="456"/>
      <c r="Z80" s="456"/>
      <c r="AC80" s="353"/>
      <c r="AD80" s="353"/>
      <c r="AE80" s="353"/>
      <c r="AF80" s="353"/>
      <c r="AG80" s="353"/>
    </row>
    <row r="81" spans="1:37" ht="23.25">
      <c r="A81" s="558" t="s">
        <v>7024</v>
      </c>
      <c r="B81" s="235" t="s">
        <v>5139</v>
      </c>
      <c r="C81" s="539">
        <v>861</v>
      </c>
      <c r="D81" s="540">
        <v>18598</v>
      </c>
      <c r="E81" s="555" t="s">
        <v>5594</v>
      </c>
      <c r="F81" s="555">
        <v>142.4</v>
      </c>
      <c r="G81" s="555" t="s">
        <v>6947</v>
      </c>
      <c r="H81" s="555">
        <v>29.9</v>
      </c>
      <c r="I81" s="555">
        <v>148</v>
      </c>
      <c r="J81" s="556">
        <f t="shared" ref="J81:J82" si="109">C81*D81*0.9912/(F81*1.003631981)</f>
        <v>111057.06891443874</v>
      </c>
      <c r="K81" s="556">
        <f t="shared" ref="K81:K82" si="110">J81*H81*0.99885/(I81*1.003631981-H81*0.99885)</f>
        <v>27949.22096036774</v>
      </c>
      <c r="L81" s="576">
        <f>K81+J81</f>
        <v>139006.28987480648</v>
      </c>
      <c r="M81" s="556">
        <f>L81*$O$14*1.00115/($O$20*0.9912)</f>
        <v>1414.9006704003859</v>
      </c>
      <c r="N81" s="556">
        <f>L81-M81</f>
        <v>137591.38920440609</v>
      </c>
      <c r="O81" s="556">
        <f t="shared" ref="O81:O84" si="111">N81*$O$20*0.9912/($O$23*1.003631981)</f>
        <v>20518.999404190272</v>
      </c>
      <c r="P81" s="440">
        <f>O81/D81</f>
        <v>1.1032906443805932</v>
      </c>
      <c r="Q81" s="440">
        <f>100*(O81-D81)/D81</f>
        <v>10.329064438059318</v>
      </c>
      <c r="R81" s="384" t="s">
        <v>422</v>
      </c>
      <c r="S81" s="555">
        <f>C81*D81*Q81/100</f>
        <v>1653980.4870078242</v>
      </c>
      <c r="V81" s="548"/>
      <c r="W81" s="456"/>
      <c r="X81" s="456"/>
      <c r="Y81" s="456"/>
      <c r="Z81" s="456"/>
      <c r="AC81" s="353"/>
      <c r="AD81" s="353"/>
      <c r="AE81" s="353"/>
      <c r="AF81" s="353"/>
      <c r="AG81" s="353"/>
    </row>
    <row r="82" spans="1:37" ht="23.25">
      <c r="A82" s="558" t="s">
        <v>7024</v>
      </c>
      <c r="B82" s="235" t="s">
        <v>5139</v>
      </c>
      <c r="C82" s="539">
        <v>851.73696940000002</v>
      </c>
      <c r="D82" s="540">
        <v>243850</v>
      </c>
      <c r="E82" s="555" t="s">
        <v>5594</v>
      </c>
      <c r="F82" s="555">
        <v>142.4</v>
      </c>
      <c r="G82" s="555" t="s">
        <v>6947</v>
      </c>
      <c r="H82" s="555">
        <v>29.9</v>
      </c>
      <c r="I82" s="555">
        <v>148</v>
      </c>
      <c r="J82" s="556">
        <f t="shared" si="109"/>
        <v>1440472.8273934154</v>
      </c>
      <c r="K82" s="556">
        <f t="shared" si="110"/>
        <v>362517.16107546154</v>
      </c>
      <c r="L82" s="576">
        <f>K82+J82</f>
        <v>1802989.988468877</v>
      </c>
      <c r="M82" s="556">
        <f>L82*$O$14*1.00115/($O$20*0.9912)</f>
        <v>18352.059793174518</v>
      </c>
      <c r="N82" s="556">
        <f>L82-M82</f>
        <v>1784637.9286757025</v>
      </c>
      <c r="O82" s="556">
        <f t="shared" si="111"/>
        <v>266142.99635270674</v>
      </c>
      <c r="P82" s="440">
        <f>O82/D82</f>
        <v>1.0914209405483155</v>
      </c>
      <c r="Q82" s="440">
        <f>100*(O82-D82)/D82</f>
        <v>9.1420940548315546</v>
      </c>
      <c r="R82" s="384" t="s">
        <v>7080</v>
      </c>
      <c r="S82" s="555">
        <f>C82*D82*Q82/100</f>
        <v>18987769.152299698</v>
      </c>
      <c r="T82" t="s">
        <v>25</v>
      </c>
      <c r="V82" s="548"/>
      <c r="W82" s="456"/>
      <c r="X82" s="456"/>
      <c r="Y82" s="456"/>
      <c r="Z82" s="456"/>
      <c r="AC82" s="353"/>
      <c r="AD82" s="353"/>
      <c r="AE82" s="353"/>
      <c r="AF82" s="353"/>
      <c r="AG82" s="353"/>
    </row>
    <row r="83" spans="1:37" ht="23.25">
      <c r="A83" s="561" t="s">
        <v>7034</v>
      </c>
      <c r="B83" s="235" t="s">
        <v>5139</v>
      </c>
      <c r="C83" s="539">
        <v>861</v>
      </c>
      <c r="D83" s="540">
        <v>7377.79</v>
      </c>
      <c r="E83" s="555" t="s">
        <v>5594</v>
      </c>
      <c r="F83" s="555">
        <v>142.4</v>
      </c>
      <c r="G83" s="555" t="s">
        <v>6947</v>
      </c>
      <c r="H83" s="555">
        <v>23.1</v>
      </c>
      <c r="I83" s="555">
        <v>135.6</v>
      </c>
      <c r="J83" s="556">
        <f t="shared" ref="J83" si="112">C83*D83*0.9912/(F83*1.003631981)</f>
        <v>44056.120683205569</v>
      </c>
      <c r="K83" s="556">
        <f t="shared" ref="K83" si="113">J83*H83*0.99885/(I83*1.003631981-H83*0.99885)</f>
        <v>8994.2884176613461</v>
      </c>
      <c r="L83" s="576">
        <f t="shared" ref="L83" si="114">K83+J83</f>
        <v>53050.409100866913</v>
      </c>
      <c r="M83" s="556">
        <f>L83*$O$14*1.00115/($O$20*0.9912)</f>
        <v>539.98318687185827</v>
      </c>
      <c r="N83" s="556">
        <f>L83-M83</f>
        <v>52510.425913995052</v>
      </c>
      <c r="O83" s="556">
        <f t="shared" si="111"/>
        <v>7830.8781114373569</v>
      </c>
      <c r="P83" s="440">
        <f>O83/D83</f>
        <v>1.0614124434874612</v>
      </c>
      <c r="Q83" s="440">
        <f>100*(O83-D83)/D83</f>
        <v>6.1412443487461275</v>
      </c>
      <c r="R83" s="388" t="s">
        <v>1005</v>
      </c>
      <c r="S83" s="555">
        <f>C83*D83*Q83/100</f>
        <v>390108.86394756439</v>
      </c>
      <c r="V83" s="548"/>
      <c r="W83" s="356"/>
      <c r="X83" s="456"/>
      <c r="Y83" s="456"/>
      <c r="Z83" s="456"/>
      <c r="AC83" s="353"/>
      <c r="AD83" s="353"/>
      <c r="AE83" s="353"/>
      <c r="AF83" s="353"/>
      <c r="AG83" s="353"/>
    </row>
    <row r="84" spans="1:37" ht="23.25">
      <c r="A84" s="559" t="s">
        <v>7038</v>
      </c>
      <c r="B84" s="235" t="s">
        <v>5139</v>
      </c>
      <c r="C84" s="539">
        <v>861</v>
      </c>
      <c r="D84" s="540">
        <v>3310.28</v>
      </c>
      <c r="E84" s="555" t="s">
        <v>5594</v>
      </c>
      <c r="F84" s="555">
        <v>143.15</v>
      </c>
      <c r="G84" s="555" t="s">
        <v>6947</v>
      </c>
      <c r="H84" s="555">
        <v>25</v>
      </c>
      <c r="I84" s="555">
        <v>137.69999999999999</v>
      </c>
      <c r="J84" s="556">
        <f t="shared" ref="J84" si="115">C84*D84*0.9912/(F84*1.003631981)</f>
        <v>19663.613568151137</v>
      </c>
      <c r="K84" s="556">
        <f t="shared" ref="K84" si="116">J84*H84*0.99885/(I84*1.003631981-H84*0.99885)</f>
        <v>4336.5706458557052</v>
      </c>
      <c r="L84" s="573">
        <f t="shared" ref="L84" si="117">K84+J84</f>
        <v>24000.18421400684</v>
      </c>
      <c r="M84" s="556">
        <f>L84*$O$14*1.00115/($O$20*0.9912)</f>
        <v>244.29021711689873</v>
      </c>
      <c r="N84" s="556">
        <f>L84-M84</f>
        <v>23755.893996889943</v>
      </c>
      <c r="O84" s="556">
        <f t="shared" si="111"/>
        <v>3542.7157003556335</v>
      </c>
      <c r="P84" s="440">
        <f>O84/D84</f>
        <v>1.0702163262188193</v>
      </c>
      <c r="Q84" s="440">
        <f>100*(O84-D84)/D84</f>
        <v>7.0216326218819356</v>
      </c>
      <c r="R84" s="250" t="s">
        <v>7027</v>
      </c>
      <c r="S84" s="555">
        <f>C84*D84*Q84/100</f>
        <v>200127.13800620032</v>
      </c>
      <c r="T84" t="s">
        <v>25</v>
      </c>
      <c r="W84" s="456"/>
      <c r="X84" s="456"/>
      <c r="Y84" s="456"/>
      <c r="Z84" s="456"/>
      <c r="AC84" s="353"/>
      <c r="AD84" s="353"/>
      <c r="AE84" s="353"/>
      <c r="AF84" s="353"/>
      <c r="AG84" s="353"/>
    </row>
    <row r="85" spans="1:37" ht="23.25">
      <c r="A85" s="561" t="s">
        <v>7035</v>
      </c>
      <c r="B85" s="566" t="s">
        <v>7030</v>
      </c>
      <c r="C85" s="567">
        <v>1</v>
      </c>
      <c r="D85" s="535">
        <v>2605032</v>
      </c>
      <c r="E85" s="555" t="s">
        <v>5594</v>
      </c>
      <c r="F85" s="555">
        <v>142.4</v>
      </c>
      <c r="G85" s="555" t="s">
        <v>6947</v>
      </c>
      <c r="H85" s="555">
        <v>23.1</v>
      </c>
      <c r="I85" s="555">
        <v>135.6</v>
      </c>
      <c r="J85" s="556">
        <f>C85*D85/(F85*1.003631981)</f>
        <v>18227.561886495743</v>
      </c>
      <c r="K85" s="556">
        <f>J85*H85*0.99885/(I85*1.003631981-H85*0.99885)</f>
        <v>3721.2524892236002</v>
      </c>
      <c r="L85" s="576">
        <f>K85+J85</f>
        <v>21948.814375719343</v>
      </c>
      <c r="M85" s="556">
        <f>L85*$O$14*1.00115/($O$20*0.9912)</f>
        <v>223.40997808565649</v>
      </c>
      <c r="N85" s="556">
        <f>L85-M85</f>
        <v>21725.404397633687</v>
      </c>
      <c r="O85" s="556">
        <f>N85*$O$20*0.9912</f>
        <v>2777914.488222552</v>
      </c>
      <c r="P85" s="440">
        <f>O85/D85</f>
        <v>1.0663648232430742</v>
      </c>
      <c r="Q85" s="440">
        <f>100*(O85-D85)/D85</f>
        <v>6.6364823243074182</v>
      </c>
      <c r="R85" s="388" t="s">
        <v>1005</v>
      </c>
      <c r="S85" s="555">
        <f>C85*D85*Q85/100</f>
        <v>172882.48822255203</v>
      </c>
      <c r="T85" s="548"/>
      <c r="U85" s="548"/>
      <c r="V85" s="548"/>
      <c r="AG85" s="353"/>
      <c r="AH85" s="353"/>
      <c r="AI85" s="353"/>
      <c r="AJ85" s="353"/>
      <c r="AK85" s="353"/>
    </row>
    <row r="86" spans="1:37" ht="23.25">
      <c r="A86" s="559" t="s">
        <v>7058</v>
      </c>
      <c r="B86" s="566" t="s">
        <v>7030</v>
      </c>
      <c r="C86" s="567">
        <v>1</v>
      </c>
      <c r="D86" s="535">
        <v>5305480</v>
      </c>
      <c r="E86" s="555" t="s">
        <v>5594</v>
      </c>
      <c r="F86" s="555">
        <v>142</v>
      </c>
      <c r="G86" s="555" t="s">
        <v>6947</v>
      </c>
      <c r="H86" s="555">
        <v>5.8</v>
      </c>
      <c r="I86" s="555">
        <v>127</v>
      </c>
      <c r="J86" s="556">
        <f>C86*D86/(F86*1.003631981)</f>
        <v>37227.3262695757</v>
      </c>
      <c r="K86" s="556">
        <f>J86*H86*0.99885/(I86*1.003631981-H86*0.99885)</f>
        <v>1772.6132373928262</v>
      </c>
      <c r="L86" s="573">
        <f>K86+J86</f>
        <v>38999.939506968527</v>
      </c>
      <c r="M86" s="556">
        <f>L86*$O$14*1.00115/($O$20*0.9912)</f>
        <v>396.96794011035098</v>
      </c>
      <c r="N86" s="556">
        <f>L86-M86</f>
        <v>38602.971566858178</v>
      </c>
      <c r="O86" s="556">
        <f>N86*$O$20*0.9912</f>
        <v>4935961.2388020074</v>
      </c>
      <c r="P86" s="440">
        <f>O86/D86</f>
        <v>0.93035149294729358</v>
      </c>
      <c r="Q86" s="440">
        <f>100*(O86-D86)/D86</f>
        <v>-6.9648507052706368</v>
      </c>
      <c r="R86" s="250" t="s">
        <v>7027</v>
      </c>
      <c r="S86" s="555">
        <f>C86*D86*Q86/100</f>
        <v>-369518.76119799254</v>
      </c>
      <c r="U86" s="368"/>
      <c r="Y86" s="382"/>
      <c r="AD86" s="353"/>
      <c r="AE86" s="353"/>
      <c r="AF86" s="353"/>
      <c r="AG86" s="353"/>
    </row>
    <row r="87" spans="1:37" ht="23.25">
      <c r="A87" s="518" t="s">
        <v>7058</v>
      </c>
      <c r="B87" s="566" t="s">
        <v>7030</v>
      </c>
      <c r="C87" s="567">
        <v>1</v>
      </c>
      <c r="D87" s="535">
        <v>38461409</v>
      </c>
      <c r="E87" s="555" t="s">
        <v>5594</v>
      </c>
      <c r="F87" s="555">
        <v>140</v>
      </c>
      <c r="G87" s="555" t="s">
        <v>7073</v>
      </c>
      <c r="H87" s="555">
        <v>5.9</v>
      </c>
      <c r="I87" s="555">
        <v>127</v>
      </c>
      <c r="J87" s="556">
        <f>C87*D87/(F87*1.003631981)</f>
        <v>273730.16723348113</v>
      </c>
      <c r="K87" s="556">
        <f>J87*H87*0.99885/(I87*1.003631981-H87*0.99885)</f>
        <v>13269.529064435616</v>
      </c>
      <c r="L87" s="576">
        <f>K87+J87</f>
        <v>286999.69629791676</v>
      </c>
      <c r="M87" s="556">
        <f>L87*$O$14*1.00115/($O$20*0.9912)</f>
        <v>2921.2783325298064</v>
      </c>
      <c r="N87" s="556">
        <f>L87-M87</f>
        <v>284078.41796538694</v>
      </c>
      <c r="O87" s="556">
        <f>N87*$O$20*0.9912</f>
        <v>36323630.097460613</v>
      </c>
      <c r="P87" s="440">
        <f>O87/D87</f>
        <v>0.94441756144348776</v>
      </c>
      <c r="Q87" s="440">
        <f>100*(O87-D87)/D87</f>
        <v>-5.5582438556512255</v>
      </c>
      <c r="R87" s="518" t="s">
        <v>5281</v>
      </c>
      <c r="S87" s="555">
        <f>C87*D87*Q87/100</f>
        <v>-2137778.9025393873</v>
      </c>
      <c r="T87" t="s">
        <v>25</v>
      </c>
      <c r="U87" s="520"/>
      <c r="Y87" s="382"/>
      <c r="Z87" s="382"/>
      <c r="AA87" s="382"/>
      <c r="AB87" s="382"/>
      <c r="AC87" s="382"/>
      <c r="AD87" s="353"/>
      <c r="AE87" s="353"/>
      <c r="AF87" s="353"/>
      <c r="AG87" s="353"/>
      <c r="AK87" s="353"/>
    </row>
    <row r="88" spans="1:37" ht="23.25">
      <c r="A88" s="558" t="s">
        <v>7061</v>
      </c>
      <c r="B88" s="527" t="s">
        <v>4134</v>
      </c>
      <c r="C88" s="528">
        <v>2672.619370349943</v>
      </c>
      <c r="D88" s="529">
        <v>2705.05</v>
      </c>
      <c r="E88" s="339" t="s">
        <v>5594</v>
      </c>
      <c r="F88" s="536">
        <v>146.16900000000001</v>
      </c>
      <c r="G88" s="536" t="s">
        <v>7062</v>
      </c>
      <c r="H88" s="536">
        <v>3</v>
      </c>
      <c r="I88" s="536">
        <v>129.5</v>
      </c>
      <c r="J88" s="537">
        <f t="shared" ref="J88" si="118">C88*D88*0.9912/(F88*1.003631981)</f>
        <v>48847.679168338589</v>
      </c>
      <c r="K88" s="537">
        <f t="shared" ref="K88" si="119">J88*H88*0.99885/(I88*1.003631981-H88*0.99885)</f>
        <v>1152.793117675388</v>
      </c>
      <c r="L88" s="575">
        <f t="shared" ref="L88" si="120">K88+J88</f>
        <v>50000.472286013974</v>
      </c>
      <c r="M88" s="537">
        <f>L88*$O$13*1.00115/($O$20*0.9912)</f>
        <v>1174.4742766377349</v>
      </c>
      <c r="N88" s="537">
        <f>L88-M88</f>
        <v>48825.998009376242</v>
      </c>
      <c r="O88" s="537">
        <f>N88*$O$20*0.9912/($O$22*1.003631981)</f>
        <v>2955.1228552905013</v>
      </c>
      <c r="P88" s="440">
        <f>O88/D88</f>
        <v>1.0924466665276062</v>
      </c>
      <c r="Q88" s="440">
        <f>100*(O88-D88)/D88</f>
        <v>9.2446666527606194</v>
      </c>
      <c r="R88" s="384" t="s">
        <v>422</v>
      </c>
      <c r="S88" s="555">
        <f>C88*D88*Q88/100</f>
        <v>668349.55704811169</v>
      </c>
      <c r="U88" s="520"/>
      <c r="Y88" s="382"/>
      <c r="Z88" s="382"/>
      <c r="AA88" s="382"/>
      <c r="AB88" s="382"/>
      <c r="AC88" s="382"/>
      <c r="AD88" s="353"/>
      <c r="AE88" s="353"/>
      <c r="AF88" s="353"/>
      <c r="AG88" s="353"/>
      <c r="AK88" s="368"/>
    </row>
    <row r="89" spans="1:37" ht="23.25">
      <c r="A89" s="558" t="s">
        <v>7024</v>
      </c>
      <c r="B89" s="235" t="s">
        <v>5139</v>
      </c>
      <c r="C89" s="539">
        <v>849.80090570000004</v>
      </c>
      <c r="D89" s="540">
        <v>14448</v>
      </c>
      <c r="E89" s="563" t="s">
        <v>5594</v>
      </c>
      <c r="F89" s="564">
        <v>140.1</v>
      </c>
      <c r="G89" s="564" t="s">
        <v>7026</v>
      </c>
      <c r="H89" s="564">
        <v>20</v>
      </c>
      <c r="I89" s="564">
        <v>148</v>
      </c>
      <c r="J89" s="565">
        <f t="shared" ref="J89" si="121">C89*D89*0.9912/(F89*1.003631981)</f>
        <v>86551.298711428622</v>
      </c>
      <c r="K89" s="565">
        <f t="shared" ref="K89" si="122">J89*H89*0.99885/(I89*1.003631981-H89*0.99885)</f>
        <v>13449.191999147683</v>
      </c>
      <c r="L89" s="574">
        <f t="shared" ref="L89" si="123">K89+J89</f>
        <v>100000.4907105763</v>
      </c>
      <c r="M89" s="565">
        <f>L89*$O$12*1.00115/($O$20*0.9912)</f>
        <v>1487.6606651893057</v>
      </c>
      <c r="N89" s="565">
        <f>L89-M89</f>
        <v>98512.830045386989</v>
      </c>
      <c r="O89" s="565">
        <f>N89*$O$20*0.9912/($O$23*1.003631981)</f>
        <v>14691.215145763368</v>
      </c>
      <c r="P89" s="440">
        <f>O89/D89</f>
        <v>1.016833827918284</v>
      </c>
      <c r="Q89" s="440">
        <f>100*(O89-D89)/D89</f>
        <v>1.6833827918284061</v>
      </c>
      <c r="R89" s="384" t="s">
        <v>422</v>
      </c>
      <c r="S89" s="555">
        <f>C89*D89*Q89/100</f>
        <v>206684.45114966773</v>
      </c>
      <c r="T89" s="588"/>
      <c r="U89" s="588"/>
      <c r="V89" s="588"/>
      <c r="W89" s="588"/>
      <c r="X89" s="588"/>
      <c r="Y89" s="382"/>
      <c r="Z89" s="382"/>
      <c r="AA89" s="382"/>
      <c r="AB89" s="382"/>
      <c r="AC89" s="382"/>
      <c r="AD89" s="353"/>
      <c r="AE89" s="353"/>
      <c r="AF89" s="353"/>
      <c r="AG89" s="353"/>
      <c r="AK89" s="353"/>
    </row>
    <row r="90" spans="1:37" ht="23.25">
      <c r="A90" s="558" t="s">
        <v>7050</v>
      </c>
      <c r="B90" s="235" t="s">
        <v>5139</v>
      </c>
      <c r="C90" s="539">
        <v>849.80090570000004</v>
      </c>
      <c r="D90" s="540">
        <v>1879.2</v>
      </c>
      <c r="E90" s="563" t="s">
        <v>5594</v>
      </c>
      <c r="F90" s="564">
        <v>145.215</v>
      </c>
      <c r="G90" s="564" t="s">
        <v>7026</v>
      </c>
      <c r="H90" s="564">
        <v>13</v>
      </c>
      <c r="I90" s="564">
        <v>136.30000000000001</v>
      </c>
      <c r="J90" s="565">
        <f t="shared" ref="J90" si="124">C90*D90*0.9912/(F90*1.003631981)</f>
        <v>10860.892517185152</v>
      </c>
      <c r="K90" s="565">
        <f t="shared" ref="K90" si="125">J90*H90*0.99885/(I90*1.003631981-H90*0.99885)</f>
        <v>1139.0779815717658</v>
      </c>
      <c r="L90" s="574">
        <f t="shared" ref="L90" si="126">K90+J90</f>
        <v>11999.970498756917</v>
      </c>
      <c r="M90" s="565">
        <f>L90*$O$12*1.00115/($O$20*0.9912)</f>
        <v>178.51796493779307</v>
      </c>
      <c r="N90" s="565">
        <f>L90-M90</f>
        <v>11821.452533819123</v>
      </c>
      <c r="O90" s="565">
        <f>N90*$O$20*0.9912/($O$23*1.003631981)</f>
        <v>1762.9328325026499</v>
      </c>
      <c r="P90" s="440">
        <f>O90/D90</f>
        <v>0.93812943406909854</v>
      </c>
      <c r="Q90" s="440">
        <f>100*(O90-D90)/D90</f>
        <v>-6.1870565930901495</v>
      </c>
      <c r="R90" s="384" t="s">
        <v>422</v>
      </c>
      <c r="S90" s="555">
        <f>C90*D90*Q90/100</f>
        <v>-98803.944242421727</v>
      </c>
      <c r="T90" s="588"/>
      <c r="U90" s="588"/>
      <c r="V90" s="588"/>
      <c r="W90" s="588"/>
      <c r="X90" s="588"/>
      <c r="Y90" s="382"/>
      <c r="Z90" s="382"/>
      <c r="AA90" s="382"/>
      <c r="AB90" s="382"/>
      <c r="AC90" s="382"/>
      <c r="AD90" s="353"/>
      <c r="AE90" s="353"/>
      <c r="AF90" s="353"/>
      <c r="AG90" s="353"/>
      <c r="AK90" s="353"/>
    </row>
    <row r="91" spans="1:37" ht="23.25">
      <c r="A91" s="518" t="s">
        <v>7050</v>
      </c>
      <c r="B91" s="566" t="s">
        <v>7030</v>
      </c>
      <c r="C91" s="567">
        <v>1</v>
      </c>
      <c r="D91" s="535">
        <v>12514000</v>
      </c>
      <c r="E91" s="563" t="s">
        <v>5594</v>
      </c>
      <c r="F91" s="564">
        <v>142.19999999999999</v>
      </c>
      <c r="G91" s="564" t="s">
        <v>7026</v>
      </c>
      <c r="H91" s="564">
        <v>3.4</v>
      </c>
      <c r="I91" s="564">
        <v>131.5</v>
      </c>
      <c r="J91" s="565">
        <f t="shared" ref="J91" si="127">C91*D91/(F91*1.003631981)</f>
        <v>87684.345064251</v>
      </c>
      <c r="K91" s="565">
        <f>J91*H91*0.99885/(I91*1.003631981-H91*0.99885)</f>
        <v>2315.9155207326694</v>
      </c>
      <c r="L91" s="574">
        <f t="shared" ref="L91" si="128">K91+J91</f>
        <v>90000.260584983669</v>
      </c>
      <c r="M91" s="565">
        <f>L91*$O$12*1.00115/($O$20*0.9912)</f>
        <v>1338.8919052064928</v>
      </c>
      <c r="N91" s="565">
        <f>L91-M91</f>
        <v>88661.368679777181</v>
      </c>
      <c r="O91" s="565">
        <f>N91*$O$20*0.9912</f>
        <v>11336668.173965972</v>
      </c>
      <c r="P91" s="440">
        <f>O91/D91</f>
        <v>0.90591882483346431</v>
      </c>
      <c r="Q91" s="440">
        <f>100*(O91-D91)/D91</f>
        <v>-9.4081175166535722</v>
      </c>
      <c r="R91" s="518" t="s">
        <v>5281</v>
      </c>
      <c r="S91" s="555">
        <f>C91*D91*Q91/100</f>
        <v>-1177331.8260340281</v>
      </c>
      <c r="T91" s="588"/>
      <c r="U91" s="588"/>
      <c r="V91" s="588"/>
      <c r="W91" s="588"/>
      <c r="X91" s="588"/>
      <c r="Y91" s="382"/>
      <c r="Z91" s="368"/>
      <c r="AA91" s="382"/>
      <c r="AB91" s="382"/>
      <c r="AC91" s="382"/>
      <c r="AD91" s="353"/>
      <c r="AE91" s="353"/>
      <c r="AF91" s="353"/>
      <c r="AG91" s="353"/>
      <c r="AK91" t="s">
        <v>25</v>
      </c>
    </row>
    <row r="92" spans="1:37" ht="23.25">
      <c r="A92" s="558" t="s">
        <v>7050</v>
      </c>
      <c r="B92" s="235" t="s">
        <v>5139</v>
      </c>
      <c r="C92" s="539">
        <v>926.43799999999999</v>
      </c>
      <c r="D92" s="540">
        <v>345379</v>
      </c>
      <c r="E92" s="510" t="s">
        <v>6920</v>
      </c>
      <c r="F92" s="542">
        <v>396</v>
      </c>
      <c r="G92" s="542" t="s">
        <v>7054</v>
      </c>
      <c r="H92" s="542">
        <v>15.8</v>
      </c>
      <c r="I92" s="542">
        <v>396</v>
      </c>
      <c r="J92" s="535">
        <f t="shared" ref="J92" si="129">C92*D92*0.9912/(F92*1.003631981)</f>
        <v>798001.86022887181</v>
      </c>
      <c r="K92" s="535">
        <f t="shared" ref="K92:K93" si="130">J92*H92*0.99885/(I92*1.003631981-H92*0.99885)</f>
        <v>32998.080368032599</v>
      </c>
      <c r="L92" s="576">
        <f t="shared" si="33"/>
        <v>830999.94059690437</v>
      </c>
      <c r="M92" s="535">
        <f>L92*$O$8*1.00115/($O$19*0.9912)</f>
        <v>4573.3367218012236</v>
      </c>
      <c r="N92" s="535">
        <f>L92-M92</f>
        <v>826426.60387510317</v>
      </c>
      <c r="O92" s="535">
        <f>N92*$O$19*0.9912/($O$23*1.003631981)</f>
        <v>298080.86396327004</v>
      </c>
      <c r="P92" s="440">
        <f>O92/D92</f>
        <v>0.86305439521010263</v>
      </c>
      <c r="Q92" s="440">
        <f>100*(O92-D92)/D92</f>
        <v>-13.694560478989736</v>
      </c>
      <c r="R92" s="384" t="s">
        <v>422</v>
      </c>
      <c r="S92" s="555">
        <f>C92*D92*Q92/100</f>
        <v>-43818790.553596027</v>
      </c>
      <c r="Y92" s="382"/>
      <c r="Z92" s="382"/>
      <c r="AA92" s="382"/>
      <c r="AB92" s="382"/>
      <c r="AC92" s="382"/>
      <c r="AD92" s="353"/>
      <c r="AE92" s="353"/>
      <c r="AF92" s="353"/>
      <c r="AG92" s="353"/>
    </row>
    <row r="93" spans="1:37" ht="23.25">
      <c r="A93" s="558" t="s">
        <v>7050</v>
      </c>
      <c r="B93" s="235" t="s">
        <v>5139</v>
      </c>
      <c r="C93" s="539">
        <v>917.25900000000001</v>
      </c>
      <c r="D93" s="540">
        <v>335592</v>
      </c>
      <c r="E93" s="489" t="s">
        <v>6920</v>
      </c>
      <c r="F93" s="538">
        <v>396</v>
      </c>
      <c r="G93" s="538" t="s">
        <v>7055</v>
      </c>
      <c r="H93" s="538">
        <v>28.3</v>
      </c>
      <c r="I93" s="538">
        <v>375.27300000000002</v>
      </c>
      <c r="J93" s="535">
        <f>C93*D93*0.9912/(F93*1.003631981)</f>
        <v>767706.46290384687</v>
      </c>
      <c r="K93" s="535">
        <f t="shared" si="130"/>
        <v>62293.537049278442</v>
      </c>
      <c r="L93" s="576">
        <f t="shared" si="33"/>
        <v>829999.99995312537</v>
      </c>
      <c r="M93" s="535">
        <f>L93*$O$7*1.00115/($O$19*0.9912)</f>
        <v>12091.324326473034</v>
      </c>
      <c r="N93" s="535">
        <f>L93-M93</f>
        <v>817908.67562665232</v>
      </c>
      <c r="O93" s="535">
        <f>N93*$O$19*0.9912/($O$23*1.003631981)</f>
        <v>295008.56280601071</v>
      </c>
      <c r="P93" s="440">
        <f>O93/D93</f>
        <v>0.87906911608742377</v>
      </c>
      <c r="Q93" s="440">
        <f>100*(O93-D93)/D93</f>
        <v>-12.093088391257625</v>
      </c>
      <c r="R93" s="384" t="s">
        <v>4317</v>
      </c>
      <c r="S93" s="555">
        <f>C93*D93*Q93/100</f>
        <v>-37225523.017121427</v>
      </c>
      <c r="W93" t="s">
        <v>25</v>
      </c>
      <c r="Y93" s="382"/>
      <c r="Z93" s="382"/>
      <c r="AA93" s="382"/>
      <c r="AB93" s="382"/>
      <c r="AC93" s="382"/>
      <c r="AD93" s="353"/>
      <c r="AE93" s="353"/>
      <c r="AF93" s="353"/>
      <c r="AG93" s="353"/>
    </row>
    <row r="94" spans="1:37">
      <c r="V94" s="382"/>
      <c r="W94" s="380"/>
      <c r="Y94" s="382"/>
      <c r="Z94" s="382"/>
      <c r="AA94" s="382"/>
      <c r="AB94" s="382"/>
      <c r="AC94" s="382"/>
    </row>
    <row r="95" spans="1:37" ht="18.75">
      <c r="A95" s="225" t="s">
        <v>6762</v>
      </c>
      <c r="B95" s="225" t="s">
        <v>4134</v>
      </c>
      <c r="C95" s="224">
        <v>1189.2597945987068</v>
      </c>
      <c r="D95" s="302">
        <v>12738.680033416875</v>
      </c>
      <c r="E95" s="250" t="s">
        <v>4542</v>
      </c>
      <c r="F95" s="334">
        <v>339</v>
      </c>
      <c r="G95" s="319">
        <f>C95*D95*0.9912/(F95*1.003631981)</f>
        <v>44135.522214811077</v>
      </c>
      <c r="H95" s="339">
        <f>C95/F95</f>
        <v>3.5081409870168341</v>
      </c>
      <c r="I95" s="340">
        <f>$O$22/$O$24</f>
        <v>3.9792060491493384</v>
      </c>
      <c r="J95" s="228">
        <f t="shared" ref="J95:J96" si="131">I95/H95</f>
        <v>1.1342776883471486</v>
      </c>
      <c r="K95" s="228">
        <f t="shared" ref="K95:K96" si="132">(1/J95-1.0256)*100</f>
        <v>-14.398167119624471</v>
      </c>
      <c r="L95" s="228"/>
      <c r="M95" s="400" t="s">
        <v>25</v>
      </c>
      <c r="N95" s="368"/>
      <c r="O95" t="s">
        <v>25</v>
      </c>
      <c r="P95" t="s">
        <v>25</v>
      </c>
      <c r="Q95" t="s">
        <v>25</v>
      </c>
      <c r="T95" s="568"/>
      <c r="U95" s="568"/>
      <c r="V95" s="568"/>
      <c r="W95" s="568"/>
      <c r="Y95" s="382"/>
      <c r="Z95" s="382"/>
      <c r="AA95" s="382"/>
      <c r="AB95" s="382"/>
      <c r="AC95" s="382"/>
    </row>
    <row r="96" spans="1:37" ht="18.75">
      <c r="A96" s="225" t="s">
        <v>6762</v>
      </c>
      <c r="B96" s="225" t="s">
        <v>4134</v>
      </c>
      <c r="C96" s="224">
        <v>1197.4553062000762</v>
      </c>
      <c r="D96" s="302">
        <v>580.9277360066834</v>
      </c>
      <c r="E96" s="250" t="s">
        <v>4542</v>
      </c>
      <c r="F96" s="334">
        <v>339</v>
      </c>
      <c r="G96" s="319">
        <f>C96*D96*0.9912/(F96*1.003631981)</f>
        <v>2026.6022862583904</v>
      </c>
      <c r="H96" s="339">
        <f>C96/F96</f>
        <v>3.5323165374633514</v>
      </c>
      <c r="I96" s="340">
        <f>$O$22/$O$24</f>
        <v>3.9792060491493384</v>
      </c>
      <c r="J96" s="228">
        <f t="shared" si="131"/>
        <v>1.1265145710884987</v>
      </c>
      <c r="K96" s="228">
        <f t="shared" si="132"/>
        <v>-13.790620032393687</v>
      </c>
      <c r="L96" s="228"/>
      <c r="M96" s="346" t="s">
        <v>25</v>
      </c>
      <c r="N96" s="36" t="s">
        <v>25</v>
      </c>
      <c r="O96" t="s">
        <v>25</v>
      </c>
      <c r="Q96" t="s">
        <v>25</v>
      </c>
      <c r="S96" s="555">
        <f>SUM(S39:S93)</f>
        <v>982856520.26285779</v>
      </c>
      <c r="T96" s="568"/>
      <c r="U96" s="568"/>
      <c r="V96" s="568"/>
      <c r="W96" s="568"/>
      <c r="X96" s="330"/>
      <c r="Y96" s="382"/>
      <c r="Z96" s="382"/>
      <c r="AA96" s="382"/>
      <c r="AB96" s="382"/>
      <c r="AC96" s="382"/>
      <c r="AE96" t="s">
        <v>25</v>
      </c>
    </row>
    <row r="97" spans="1:29" ht="21">
      <c r="A97" s="250"/>
      <c r="B97" s="250"/>
      <c r="C97" s="334"/>
      <c r="D97" s="319"/>
      <c r="E97" s="170"/>
      <c r="F97" s="170"/>
      <c r="G97" s="170"/>
      <c r="H97" s="170"/>
      <c r="I97" s="170"/>
      <c r="J97" s="357"/>
      <c r="K97" s="371"/>
      <c r="L97" s="357"/>
      <c r="M97" s="346" t="s">
        <v>25</v>
      </c>
      <c r="N97" s="36" t="s">
        <v>25</v>
      </c>
      <c r="O97" t="s">
        <v>25</v>
      </c>
      <c r="R97" t="s">
        <v>25</v>
      </c>
      <c r="T97" s="382" t="s">
        <v>25</v>
      </c>
      <c r="U97" s="368"/>
      <c r="V97" s="382" t="s">
        <v>25</v>
      </c>
      <c r="W97" s="380"/>
      <c r="X97" s="338"/>
      <c r="Y97" s="382"/>
      <c r="Z97" s="382"/>
      <c r="AA97" s="382"/>
      <c r="AB97" s="382"/>
      <c r="AC97" s="382"/>
    </row>
    <row r="98" spans="1:29" ht="21">
      <c r="A98" s="250"/>
      <c r="B98" s="250"/>
      <c r="C98" s="334"/>
      <c r="D98" s="319"/>
      <c r="E98" s="170"/>
      <c r="F98" s="170"/>
      <c r="G98" s="170"/>
      <c r="H98" s="170"/>
      <c r="I98" s="170"/>
      <c r="J98" s="357"/>
      <c r="K98" s="371"/>
      <c r="L98" s="357"/>
      <c r="M98" s="346"/>
      <c r="N98" t="s">
        <v>25</v>
      </c>
      <c r="O98" s="522"/>
      <c r="P98" t="s">
        <v>25</v>
      </c>
      <c r="T98" s="456" t="s">
        <v>25</v>
      </c>
      <c r="U98" s="382"/>
      <c r="V98" s="382"/>
      <c r="W98" s="380"/>
      <c r="X98" s="338"/>
      <c r="Y98" s="382"/>
      <c r="Z98" s="382"/>
      <c r="AA98" s="382"/>
      <c r="AB98" s="382"/>
      <c r="AC98" s="382"/>
    </row>
    <row r="99" spans="1:29" ht="21">
      <c r="A99" s="225" t="s">
        <v>6776</v>
      </c>
      <c r="B99" s="225" t="s">
        <v>4134</v>
      </c>
      <c r="C99" s="224">
        <v>1196.5446937999241</v>
      </c>
      <c r="D99" s="225">
        <v>1.0981620718462823</v>
      </c>
      <c r="E99" s="315" t="s">
        <v>4400</v>
      </c>
      <c r="F99" s="315">
        <v>785.87</v>
      </c>
      <c r="G99" s="315">
        <f>C99*D99*0.9912/(F99*1.003631981)</f>
        <v>1.6513208201489087</v>
      </c>
      <c r="H99" s="315">
        <f>C99/F99</f>
        <v>1.5225733184876939</v>
      </c>
      <c r="I99" s="315">
        <f>$O$22/$O$29</f>
        <v>1.8115318416523236</v>
      </c>
      <c r="J99" s="315">
        <f>I99/H99</f>
        <v>1.1897829941297275</v>
      </c>
      <c r="K99" s="316">
        <f>(1/J99-1.0256)*100</f>
        <v>-18.511059568517808</v>
      </c>
      <c r="L99" s="315"/>
      <c r="O99" s="400" t="s">
        <v>25</v>
      </c>
      <c r="P99" t="s">
        <v>25</v>
      </c>
      <c r="T99" s="456" t="s">
        <v>25</v>
      </c>
      <c r="U99" s="382" t="s">
        <v>25</v>
      </c>
      <c r="V99" s="382"/>
      <c r="W99" s="380"/>
      <c r="X99" s="338"/>
      <c r="Y99" s="382"/>
      <c r="Z99" s="382"/>
      <c r="AA99" s="382"/>
      <c r="AB99" s="382"/>
      <c r="AC99" s="382"/>
    </row>
    <row r="100" spans="1:29" ht="15.75">
      <c r="A100" s="225" t="s">
        <v>6806</v>
      </c>
      <c r="B100" s="225" t="s">
        <v>4134</v>
      </c>
      <c r="C100" s="224">
        <v>1693.7390642829973</v>
      </c>
      <c r="D100" s="225">
        <v>166749.32163742688</v>
      </c>
      <c r="E100" s="384" t="s">
        <v>5592</v>
      </c>
      <c r="F100" s="384">
        <v>1277</v>
      </c>
      <c r="G100" s="385">
        <f>C100*D100*0.99114/(F100*1.0037158)</f>
        <v>218395.62072681807</v>
      </c>
      <c r="H100" s="384">
        <f>C100/F100</f>
        <v>1.3263422586397786</v>
      </c>
      <c r="I100" s="384">
        <f>$O$22/$O$25</f>
        <v>1.12747723620782</v>
      </c>
      <c r="J100" s="357">
        <f>I100/H100</f>
        <v>0.85006507849949431</v>
      </c>
      <c r="K100" s="357">
        <f>(1/J100-1.0256)*100</f>
        <v>15.078052108335704</v>
      </c>
      <c r="L100" s="357"/>
      <c r="M100" s="352" t="s">
        <v>25</v>
      </c>
      <c r="O100" s="522" t="s">
        <v>25</v>
      </c>
      <c r="Q100" t="s">
        <v>25</v>
      </c>
      <c r="T100" s="456" t="s">
        <v>25</v>
      </c>
      <c r="U100" s="382"/>
      <c r="V100" s="382"/>
      <c r="X100" s="338"/>
      <c r="Y100" s="382"/>
      <c r="Z100" s="382"/>
      <c r="AA100" s="382"/>
      <c r="AB100" s="382"/>
      <c r="AC100" s="382"/>
    </row>
    <row r="101" spans="1:29" ht="15.75">
      <c r="A101" s="225"/>
      <c r="B101" s="225"/>
      <c r="C101" s="224"/>
      <c r="D101" s="225"/>
      <c r="E101" s="384"/>
      <c r="F101" s="384"/>
      <c r="G101" s="385"/>
      <c r="H101" s="384"/>
      <c r="I101" s="384"/>
      <c r="J101" s="357"/>
      <c r="K101" s="357"/>
      <c r="L101" s="357"/>
      <c r="O101" s="400" t="s">
        <v>25</v>
      </c>
      <c r="Q101" t="s">
        <v>25</v>
      </c>
      <c r="T101" s="382" t="s">
        <v>25</v>
      </c>
      <c r="U101" s="382"/>
      <c r="Y101" s="382"/>
      <c r="Z101" s="382"/>
      <c r="AA101" s="382"/>
      <c r="AB101" s="382"/>
      <c r="AC101" s="382"/>
    </row>
    <row r="102" spans="1:29" ht="21">
      <c r="A102" s="227" t="s">
        <v>6815</v>
      </c>
      <c r="B102" s="227" t="s">
        <v>5139</v>
      </c>
      <c r="C102" s="226">
        <v>528</v>
      </c>
      <c r="D102" s="299">
        <v>1</v>
      </c>
      <c r="E102" s="332" t="s">
        <v>6814</v>
      </c>
      <c r="F102" s="332">
        <v>13559.5</v>
      </c>
      <c r="G102" s="335">
        <f>C102*D102*0.9912/(F102*1.00115)</f>
        <v>3.8552486057752494E-2</v>
      </c>
      <c r="H102" s="332">
        <f>C102/F102</f>
        <v>3.8939488919207933E-2</v>
      </c>
      <c r="I102" s="332">
        <f>$O$23/$O$26</f>
        <v>4.5758024937407354E-2</v>
      </c>
      <c r="J102" s="332">
        <f>I102/H102</f>
        <v>1.175105945338589</v>
      </c>
      <c r="K102" s="333">
        <f>(1/J102-1.015)*100</f>
        <v>-16.401290052458616</v>
      </c>
      <c r="L102" s="332"/>
      <c r="M102" t="s">
        <v>25</v>
      </c>
      <c r="O102" t="s">
        <v>25</v>
      </c>
      <c r="T102" s="382" t="s">
        <v>25</v>
      </c>
      <c r="U102" s="382"/>
      <c r="Y102" s="382"/>
      <c r="Z102" s="382"/>
      <c r="AA102" s="382"/>
      <c r="AB102" s="382"/>
      <c r="AC102" s="382"/>
    </row>
    <row r="103" spans="1:29" ht="21">
      <c r="A103" s="227"/>
      <c r="B103" s="227"/>
      <c r="C103" s="226"/>
      <c r="D103" s="299"/>
      <c r="E103" s="332"/>
      <c r="F103" s="332"/>
      <c r="G103" s="335"/>
      <c r="H103" s="332"/>
      <c r="I103" s="332"/>
      <c r="J103" s="332"/>
      <c r="K103" s="333"/>
      <c r="L103" s="332"/>
      <c r="O103" t="s">
        <v>25</v>
      </c>
      <c r="T103" s="382"/>
      <c r="Y103" s="382"/>
      <c r="Z103" s="382"/>
      <c r="AA103" s="382"/>
      <c r="AB103" s="382"/>
      <c r="AC103" s="382"/>
    </row>
    <row r="104" spans="1:29" ht="21">
      <c r="A104" s="250"/>
      <c r="B104" s="250"/>
      <c r="C104" s="334"/>
      <c r="D104" s="319"/>
      <c r="E104" s="332"/>
      <c r="F104" s="332"/>
      <c r="G104" s="335"/>
      <c r="H104" s="332"/>
      <c r="I104" s="332"/>
      <c r="J104" s="332"/>
      <c r="K104" s="333"/>
      <c r="L104" s="332"/>
      <c r="M104" t="s">
        <v>25</v>
      </c>
      <c r="T104" t="s">
        <v>25</v>
      </c>
      <c r="W104" s="380"/>
      <c r="X104" s="330"/>
      <c r="Y104" s="382"/>
      <c r="Z104" s="382"/>
      <c r="AA104" s="382"/>
      <c r="AB104" s="382"/>
      <c r="AC104" s="382"/>
    </row>
    <row r="105" spans="1:29" ht="21">
      <c r="A105" s="332" t="s">
        <v>6828</v>
      </c>
      <c r="B105" s="332" t="s">
        <v>6831</v>
      </c>
      <c r="C105" s="347">
        <v>8724.2999999999993</v>
      </c>
      <c r="D105" s="335">
        <v>71134</v>
      </c>
      <c r="E105" s="302" t="s">
        <v>4134</v>
      </c>
      <c r="F105" s="302">
        <v>1719.9647014073792</v>
      </c>
      <c r="G105" s="302">
        <f t="shared" ref="G105:G125" si="133">C105*D105*0.99885/(F105*1.003631981)</f>
        <v>359098.89592002367</v>
      </c>
      <c r="H105" s="225">
        <f t="shared" ref="H105:H126" si="134">C105/F105</f>
        <v>5.0723715392887128</v>
      </c>
      <c r="I105" s="225">
        <f>$O$27/$O$22</f>
        <v>6.9524940617577196</v>
      </c>
      <c r="J105" s="28">
        <f>I105/H105</f>
        <v>1.3706594652829103</v>
      </c>
      <c r="K105" s="230">
        <f t="shared" ref="K105" si="135">(1/J105-1.015)*100</f>
        <v>-28.54241824255045</v>
      </c>
      <c r="L105" s="228"/>
      <c r="M105" t="s">
        <v>25</v>
      </c>
      <c r="O105" t="s">
        <v>25</v>
      </c>
      <c r="V105" s="380"/>
      <c r="W105" s="380"/>
      <c r="X105" s="330"/>
      <c r="Y105" s="382"/>
      <c r="Z105" s="382"/>
      <c r="AA105" s="382"/>
      <c r="AB105" s="382"/>
      <c r="AC105" s="382"/>
    </row>
    <row r="106" spans="1:29" ht="21">
      <c r="A106" s="332" t="s">
        <v>6828</v>
      </c>
      <c r="B106" s="332" t="s">
        <v>6814</v>
      </c>
      <c r="C106" s="347">
        <v>14116.9</v>
      </c>
      <c r="D106" s="335">
        <v>22382</v>
      </c>
      <c r="E106" s="302" t="s">
        <v>4134</v>
      </c>
      <c r="F106" s="302">
        <v>1720.6021300874859</v>
      </c>
      <c r="G106" s="302">
        <f t="shared" si="133"/>
        <v>182761.01261804847</v>
      </c>
      <c r="H106" s="225">
        <f t="shared" si="134"/>
        <v>8.2046277597495543</v>
      </c>
      <c r="I106" s="225">
        <f t="shared" ref="I106:I111" si="136">$O$26/$O$22</f>
        <v>8.8693586698337299</v>
      </c>
      <c r="J106" s="28">
        <f>I106/H106</f>
        <v>1.0810190211608657</v>
      </c>
      <c r="K106" s="230">
        <f t="shared" ref="K106" si="137">(1/J106-1.015)*100</f>
        <v>-8.9946896932361362</v>
      </c>
      <c r="L106" s="228"/>
      <c r="N106" t="s">
        <v>25</v>
      </c>
      <c r="T106" t="s">
        <v>25</v>
      </c>
      <c r="U106" s="35"/>
      <c r="V106" s="380"/>
      <c r="Y106" s="382"/>
      <c r="Z106" s="382"/>
      <c r="AA106" s="382"/>
      <c r="AB106" s="382"/>
      <c r="AC106" s="382"/>
    </row>
    <row r="107" spans="1:29" ht="21">
      <c r="A107" s="332" t="s">
        <v>6830</v>
      </c>
      <c r="B107" s="332" t="s">
        <v>6814</v>
      </c>
      <c r="C107" s="347">
        <v>14385</v>
      </c>
      <c r="D107" s="335">
        <v>15000</v>
      </c>
      <c r="E107" s="302" t="s">
        <v>4134</v>
      </c>
      <c r="F107" s="302">
        <v>1709.5837200456449</v>
      </c>
      <c r="G107" s="302">
        <f t="shared" si="133"/>
        <v>125613.56285967458</v>
      </c>
      <c r="H107" s="225">
        <f t="shared" si="134"/>
        <v>8.4143290739899701</v>
      </c>
      <c r="I107" s="225">
        <f t="shared" si="136"/>
        <v>8.8693586698337299</v>
      </c>
      <c r="J107" s="28">
        <f t="shared" ref="J107:J108" si="138">I107/H107</f>
        <v>1.0540779415497701</v>
      </c>
      <c r="K107" s="230">
        <f t="shared" ref="K107" si="139">(1/J107-1.015)*100</f>
        <v>-6.6303551111468355</v>
      </c>
      <c r="L107" s="228"/>
      <c r="M107" t="s">
        <v>25</v>
      </c>
      <c r="N107" t="s">
        <v>25</v>
      </c>
      <c r="O107" t="s">
        <v>25</v>
      </c>
      <c r="P107" t="s">
        <v>25</v>
      </c>
      <c r="T107" s="25" t="s">
        <v>25</v>
      </c>
      <c r="U107" s="380"/>
      <c r="W107" s="336"/>
      <c r="Y107" s="382"/>
      <c r="Z107" s="382"/>
      <c r="AA107" s="382"/>
      <c r="AB107" s="382"/>
      <c r="AC107" s="382"/>
    </row>
    <row r="108" spans="1:29" ht="21">
      <c r="A108" s="332" t="s">
        <v>6832</v>
      </c>
      <c r="B108" s="332" t="s">
        <v>6814</v>
      </c>
      <c r="C108" s="347">
        <v>14647</v>
      </c>
      <c r="D108" s="335">
        <v>6000</v>
      </c>
      <c r="E108" s="302" t="s">
        <v>4075</v>
      </c>
      <c r="F108" s="302">
        <v>1711.9513122860403</v>
      </c>
      <c r="G108" s="302">
        <f t="shared" si="133"/>
        <v>51089.812037703196</v>
      </c>
      <c r="H108" s="225">
        <f t="shared" si="134"/>
        <v>8.5557339714534564</v>
      </c>
      <c r="I108" s="225">
        <f t="shared" si="136"/>
        <v>8.8693586698337299</v>
      </c>
      <c r="J108" s="28">
        <f t="shared" si="138"/>
        <v>1.0366566678471647</v>
      </c>
      <c r="K108" s="230">
        <f>(1/J108-1.015)*100</f>
        <v>-5.0360470813630043</v>
      </c>
      <c r="L108" s="228"/>
      <c r="O108" t="s">
        <v>25</v>
      </c>
      <c r="T108" s="25"/>
      <c r="U108" s="380"/>
      <c r="V108" s="368"/>
      <c r="W108" s="336"/>
      <c r="Y108" s="382"/>
      <c r="Z108" s="382"/>
      <c r="AA108" s="382"/>
      <c r="AB108" s="382"/>
      <c r="AC108" s="382"/>
    </row>
    <row r="109" spans="1:29" ht="21">
      <c r="A109" s="332" t="s">
        <v>6833</v>
      </c>
      <c r="B109" s="332" t="s">
        <v>6814</v>
      </c>
      <c r="C109" s="347">
        <v>14870</v>
      </c>
      <c r="D109" s="335">
        <v>3642</v>
      </c>
      <c r="E109" s="302" t="s">
        <v>4134</v>
      </c>
      <c r="F109" s="302">
        <v>1702.8451882845188</v>
      </c>
      <c r="G109" s="302">
        <f t="shared" si="133"/>
        <v>31652.026864165495</v>
      </c>
      <c r="H109" s="225">
        <f t="shared" si="134"/>
        <v>8.7324438547348766</v>
      </c>
      <c r="I109" s="225">
        <f t="shared" si="136"/>
        <v>8.8693586698337299</v>
      </c>
      <c r="J109" s="28">
        <f t="shared" ref="J109" si="140">I109/H109</f>
        <v>1.015678865776459</v>
      </c>
      <c r="K109" s="230">
        <f>(1/J109-1.015)*100</f>
        <v>-3.0436833732355839</v>
      </c>
      <c r="L109" s="228"/>
      <c r="M109" t="s">
        <v>25</v>
      </c>
      <c r="N109" t="s">
        <v>25</v>
      </c>
      <c r="O109" t="s">
        <v>25</v>
      </c>
      <c r="T109" s="368" t="s">
        <v>25</v>
      </c>
      <c r="V109" s="368"/>
      <c r="W109" s="336"/>
      <c r="Y109" s="382"/>
      <c r="Z109" s="382"/>
      <c r="AA109" s="382"/>
      <c r="AB109" s="382"/>
      <c r="AC109" s="382"/>
    </row>
    <row r="110" spans="1:29" ht="21">
      <c r="A110" s="332" t="s">
        <v>6833</v>
      </c>
      <c r="B110" s="332" t="s">
        <v>6814</v>
      </c>
      <c r="C110" s="347">
        <v>14870</v>
      </c>
      <c r="D110" s="335">
        <v>3721</v>
      </c>
      <c r="E110" s="348" t="s">
        <v>4134</v>
      </c>
      <c r="F110" s="302">
        <v>1702.8451882845188</v>
      </c>
      <c r="G110" s="302">
        <f t="shared" si="133"/>
        <v>32338.602954848928</v>
      </c>
      <c r="H110" s="225">
        <f t="shared" si="134"/>
        <v>8.7324438547348766</v>
      </c>
      <c r="I110" s="225">
        <f t="shared" si="136"/>
        <v>8.8693586698337299</v>
      </c>
      <c r="J110" s="28">
        <f t="shared" ref="J110" si="141">I110/H110</f>
        <v>1.015678865776459</v>
      </c>
      <c r="K110" s="230">
        <f t="shared" ref="K110" si="142">(1/J110-1.015)*100</f>
        <v>-3.0436833732355839</v>
      </c>
      <c r="L110" s="228"/>
      <c r="N110" t="s">
        <v>25</v>
      </c>
      <c r="O110" t="s">
        <v>25</v>
      </c>
      <c r="T110" s="368" t="s">
        <v>25</v>
      </c>
      <c r="U110" s="368" t="s">
        <v>25</v>
      </c>
      <c r="V110" s="368"/>
      <c r="X110" s="196"/>
      <c r="Y110" s="382"/>
      <c r="Z110" s="382"/>
      <c r="AA110" s="382"/>
      <c r="AB110" s="382"/>
      <c r="AC110" s="382"/>
    </row>
    <row r="111" spans="1:29" ht="21">
      <c r="A111" s="332" t="s">
        <v>6833</v>
      </c>
      <c r="B111" s="332" t="s">
        <v>6814</v>
      </c>
      <c r="C111" s="347">
        <v>15600</v>
      </c>
      <c r="D111" s="335">
        <v>35181</v>
      </c>
      <c r="E111" s="348" t="s">
        <v>4134</v>
      </c>
      <c r="F111" s="302">
        <v>1693.2382274629138</v>
      </c>
      <c r="G111" s="302">
        <f t="shared" si="133"/>
        <v>322582.27142649592</v>
      </c>
      <c r="H111" s="225">
        <f t="shared" si="134"/>
        <v>9.2131158787824372</v>
      </c>
      <c r="I111" s="225">
        <f t="shared" si="136"/>
        <v>8.8693586698337299</v>
      </c>
      <c r="J111" s="28">
        <f>I111/H111</f>
        <v>0.9626882790283392</v>
      </c>
      <c r="K111" s="230">
        <f>(1/J111-1.015)*100</f>
        <v>2.37578427872005</v>
      </c>
      <c r="L111" s="228"/>
      <c r="N111" t="s">
        <v>25</v>
      </c>
      <c r="O111" t="s">
        <v>25</v>
      </c>
      <c r="T111" s="368" t="s">
        <v>25</v>
      </c>
      <c r="U111" s="368"/>
      <c r="V111" s="368"/>
      <c r="Y111" s="382"/>
      <c r="Z111" s="382"/>
      <c r="AA111" s="382"/>
      <c r="AB111" s="382"/>
      <c r="AC111" s="382"/>
    </row>
    <row r="112" spans="1:29" ht="21">
      <c r="A112" s="332" t="s">
        <v>6833</v>
      </c>
      <c r="B112" s="332" t="s">
        <v>6814</v>
      </c>
      <c r="C112" s="347">
        <v>14870</v>
      </c>
      <c r="D112" s="335">
        <v>2279</v>
      </c>
      <c r="E112" s="319" t="s">
        <v>4542</v>
      </c>
      <c r="F112" s="319">
        <v>435</v>
      </c>
      <c r="G112" s="319">
        <f t="shared" si="133"/>
        <v>77533.93376708201</v>
      </c>
      <c r="H112" s="250">
        <f t="shared" si="134"/>
        <v>34.183908045977013</v>
      </c>
      <c r="I112" s="250">
        <f>$O$26/$O$24</f>
        <v>35.293005671077502</v>
      </c>
      <c r="J112" s="28">
        <f>I112/H112</f>
        <v>1.0324450213126235</v>
      </c>
      <c r="K112" s="230">
        <f>(1/J112-1.015)*100</f>
        <v>-4.6425422800115417</v>
      </c>
      <c r="L112" s="228"/>
      <c r="N112" t="s">
        <v>25</v>
      </c>
      <c r="T112" s="368" t="s">
        <v>25</v>
      </c>
      <c r="U112" s="368"/>
      <c r="V112" s="368"/>
      <c r="Y112" s="382"/>
      <c r="Z112" s="382"/>
      <c r="AA112" s="382"/>
      <c r="AB112" s="382"/>
      <c r="AC112" s="382"/>
    </row>
    <row r="113" spans="1:35" ht="21">
      <c r="A113" s="332" t="s">
        <v>6833</v>
      </c>
      <c r="B113" s="332" t="s">
        <v>6814</v>
      </c>
      <c r="C113" s="347">
        <v>14870</v>
      </c>
      <c r="D113" s="335">
        <v>2279</v>
      </c>
      <c r="E113" s="351" t="s">
        <v>4542</v>
      </c>
      <c r="F113" s="319">
        <v>435</v>
      </c>
      <c r="G113" s="319">
        <f t="shared" si="133"/>
        <v>77533.93376708201</v>
      </c>
      <c r="H113" s="250">
        <f t="shared" si="134"/>
        <v>34.183908045977013</v>
      </c>
      <c r="I113" s="250">
        <f>$O$26/$O$24</f>
        <v>35.293005671077502</v>
      </c>
      <c r="J113" s="28">
        <f>I113/H113</f>
        <v>1.0324450213126235</v>
      </c>
      <c r="K113" s="230">
        <f t="shared" ref="K113" si="143">(1/J113-1.015)*100</f>
        <v>-4.6425422800115417</v>
      </c>
      <c r="L113" s="228"/>
      <c r="N113" t="s">
        <v>25</v>
      </c>
      <c r="T113" s="368"/>
      <c r="U113" s="368"/>
      <c r="V113" s="368"/>
      <c r="Y113" s="382"/>
      <c r="Z113" s="382"/>
      <c r="AA113" s="382"/>
      <c r="AB113" s="382"/>
      <c r="AC113" s="382"/>
    </row>
    <row r="114" spans="1:35" ht="21">
      <c r="A114" s="332" t="s">
        <v>6833</v>
      </c>
      <c r="B114" s="332" t="s">
        <v>6814</v>
      </c>
      <c r="C114" s="347">
        <v>15600</v>
      </c>
      <c r="D114" s="335">
        <v>40264</v>
      </c>
      <c r="E114" s="351" t="s">
        <v>4542</v>
      </c>
      <c r="F114" s="319">
        <v>438</v>
      </c>
      <c r="G114" s="319">
        <f t="shared" si="133"/>
        <v>1427227.4417065773</v>
      </c>
      <c r="H114" s="250">
        <f t="shared" si="134"/>
        <v>35.61643835616438</v>
      </c>
      <c r="I114" s="250">
        <f>$O$26/$O$24</f>
        <v>35.293005671077502</v>
      </c>
      <c r="J114" s="28">
        <f>I114/H114</f>
        <v>0.99091900538025302</v>
      </c>
      <c r="K114" s="230">
        <f>(1/J114-1.015)*100</f>
        <v>-0.58357851949137896</v>
      </c>
      <c r="L114" s="228"/>
      <c r="N114" t="s">
        <v>25</v>
      </c>
      <c r="T114" s="368"/>
      <c r="U114" s="368"/>
      <c r="V114" s="368"/>
      <c r="Y114" s="382"/>
      <c r="Z114" s="382"/>
      <c r="AA114" s="382"/>
      <c r="AB114" s="382"/>
      <c r="AC114" s="382"/>
    </row>
    <row r="115" spans="1:35" ht="27" customHeight="1">
      <c r="A115" s="332" t="s">
        <v>6835</v>
      </c>
      <c r="B115" s="332" t="s">
        <v>6814</v>
      </c>
      <c r="C115" s="347">
        <v>16212</v>
      </c>
      <c r="D115" s="335">
        <v>224</v>
      </c>
      <c r="E115" s="351" t="s">
        <v>4542</v>
      </c>
      <c r="F115" s="319">
        <v>432</v>
      </c>
      <c r="G115" s="319">
        <f t="shared" si="133"/>
        <v>8366.1692987308925</v>
      </c>
      <c r="H115" s="250">
        <f t="shared" si="134"/>
        <v>37.527777777777779</v>
      </c>
      <c r="I115" s="250">
        <f>$O$26/$O$24</f>
        <v>35.293005671077502</v>
      </c>
      <c r="J115" s="28">
        <f>I115/H115</f>
        <v>0.94045018812641745</v>
      </c>
      <c r="K115" s="230">
        <f>(1/J115-1.015)*100</f>
        <v>4.8320537999167135</v>
      </c>
      <c r="L115" s="228"/>
      <c r="N115" t="s">
        <v>25</v>
      </c>
      <c r="O115" t="s">
        <v>25</v>
      </c>
      <c r="T115" s="368"/>
      <c r="U115" s="368"/>
      <c r="V115" s="368"/>
      <c r="Y115" s="382"/>
      <c r="Z115" s="382"/>
      <c r="AA115" s="382"/>
      <c r="AB115" s="382"/>
      <c r="AC115" s="382"/>
    </row>
    <row r="116" spans="1:35" ht="21">
      <c r="A116" s="332" t="s">
        <v>6835</v>
      </c>
      <c r="B116" s="332" t="s">
        <v>6814</v>
      </c>
      <c r="C116" s="347">
        <v>16756</v>
      </c>
      <c r="D116" s="335">
        <v>716</v>
      </c>
      <c r="E116" s="351" t="s">
        <v>4542</v>
      </c>
      <c r="F116" s="319">
        <v>435</v>
      </c>
      <c r="G116" s="319">
        <f t="shared" si="133"/>
        <v>27448.581090175932</v>
      </c>
      <c r="H116" s="250">
        <f t="shared" si="134"/>
        <v>38.51954022988506</v>
      </c>
      <c r="I116" s="250">
        <f>$O$26/$O$24</f>
        <v>35.293005671077502</v>
      </c>
      <c r="J116" s="28">
        <f t="shared" ref="J116" si="144">I116/H116</f>
        <v>0.91623642079963674</v>
      </c>
      <c r="K116" s="230">
        <f t="shared" ref="K116" si="145">(1/J116-1.015)*100</f>
        <v>7.6421359486298801</v>
      </c>
      <c r="L116" s="228"/>
      <c r="O116" t="s">
        <v>25</v>
      </c>
      <c r="T116" s="368" t="s">
        <v>25</v>
      </c>
      <c r="U116" s="368"/>
      <c r="V116" s="368"/>
      <c r="Y116" s="382"/>
      <c r="Z116" s="382"/>
      <c r="AA116" s="382"/>
      <c r="AB116" s="382"/>
      <c r="AC116" s="382"/>
      <c r="AG116" s="382"/>
      <c r="AH116" s="382"/>
      <c r="AI116" s="382"/>
    </row>
    <row r="117" spans="1:35" ht="21">
      <c r="A117" s="332" t="s">
        <v>6833</v>
      </c>
      <c r="B117" s="332" t="s">
        <v>6814</v>
      </c>
      <c r="C117" s="347">
        <v>15800</v>
      </c>
      <c r="D117" s="335">
        <v>97579</v>
      </c>
      <c r="E117" s="350" t="s">
        <v>5139</v>
      </c>
      <c r="F117" s="299">
        <v>564.09649999999999</v>
      </c>
      <c r="G117" s="299">
        <f t="shared" si="133"/>
        <v>2720105.991936069</v>
      </c>
      <c r="H117" s="227">
        <f t="shared" si="134"/>
        <v>28.009392010055016</v>
      </c>
      <c r="I117" s="227">
        <f t="shared" ref="I117:I125" si="146">$O$26/$O$23</f>
        <v>21.854090104804683</v>
      </c>
      <c r="J117" s="28">
        <f t="shared" ref="J117:J126" si="147">I117/H117</f>
        <v>0.78024150245600987</v>
      </c>
      <c r="K117" s="230">
        <f t="shared" ref="K117:K121" si="148">(1/J117-1.015)*100</f>
        <v>26.665445807771569</v>
      </c>
      <c r="L117" s="228"/>
      <c r="N117" t="s">
        <v>25</v>
      </c>
      <c r="T117" s="368"/>
      <c r="U117" s="368"/>
      <c r="Y117" s="382"/>
      <c r="Z117" s="382"/>
      <c r="AA117" s="382"/>
      <c r="AB117" s="382"/>
      <c r="AC117" s="382"/>
      <c r="AG117" s="382"/>
      <c r="AH117" s="382"/>
      <c r="AI117" s="382"/>
    </row>
    <row r="118" spans="1:35" ht="21">
      <c r="A118" s="332" t="s">
        <v>6835</v>
      </c>
      <c r="B118" s="332" t="s">
        <v>6814</v>
      </c>
      <c r="C118" s="347">
        <v>16212</v>
      </c>
      <c r="D118" s="335">
        <v>12020</v>
      </c>
      <c r="E118" s="350" t="s">
        <v>5139</v>
      </c>
      <c r="F118" s="299">
        <v>568.19000000000005</v>
      </c>
      <c r="G118" s="299">
        <f t="shared" si="133"/>
        <v>341329.05544801702</v>
      </c>
      <c r="H118" s="227">
        <f t="shared" si="134"/>
        <v>28.53270912898854</v>
      </c>
      <c r="I118" s="227">
        <f t="shared" si="146"/>
        <v>21.854090104804683</v>
      </c>
      <c r="J118" s="28">
        <f t="shared" si="147"/>
        <v>0.76593112858678603</v>
      </c>
      <c r="K118" s="230">
        <f t="shared" si="148"/>
        <v>29.0600415856048</v>
      </c>
      <c r="L118" s="228"/>
      <c r="T118" s="368"/>
      <c r="U118" s="368"/>
      <c r="Y118" s="382"/>
      <c r="Z118" s="382"/>
      <c r="AA118" s="382"/>
      <c r="AB118" s="382"/>
      <c r="AC118" s="382"/>
      <c r="AG118" s="382"/>
      <c r="AH118" s="382"/>
      <c r="AI118" s="382"/>
    </row>
    <row r="119" spans="1:35" ht="21">
      <c r="A119" s="332" t="s">
        <v>6836</v>
      </c>
      <c r="B119" s="332" t="s">
        <v>6814</v>
      </c>
      <c r="C119" s="347">
        <v>16235</v>
      </c>
      <c r="D119" s="335">
        <v>6214</v>
      </c>
      <c r="E119" s="350" t="s">
        <v>5139</v>
      </c>
      <c r="F119" s="372">
        <v>556</v>
      </c>
      <c r="G119" s="372">
        <f t="shared" si="133"/>
        <v>180582.03069431783</v>
      </c>
      <c r="H119" s="369">
        <f t="shared" si="134"/>
        <v>29.199640287769785</v>
      </c>
      <c r="I119" s="369">
        <f t="shared" si="146"/>
        <v>21.854090104804683</v>
      </c>
      <c r="J119" s="357">
        <f t="shared" si="147"/>
        <v>0.74843696324431186</v>
      </c>
      <c r="K119" s="371">
        <f t="shared" si="148"/>
        <v>32.111786845109449</v>
      </c>
      <c r="L119" s="370"/>
      <c r="O119" t="s">
        <v>25</v>
      </c>
      <c r="T119" s="368"/>
      <c r="Y119" s="382"/>
      <c r="Z119" s="382"/>
      <c r="AA119" s="382"/>
      <c r="AB119" s="382"/>
      <c r="AC119" s="382"/>
      <c r="AG119" s="382"/>
      <c r="AH119" s="382"/>
      <c r="AI119" s="382"/>
    </row>
    <row r="120" spans="1:35" ht="21">
      <c r="A120" s="332" t="s">
        <v>6835</v>
      </c>
      <c r="B120" s="332" t="s">
        <v>6814</v>
      </c>
      <c r="C120" s="347">
        <v>16756</v>
      </c>
      <c r="D120" s="335">
        <v>31581</v>
      </c>
      <c r="E120" s="350" t="s">
        <v>5139</v>
      </c>
      <c r="F120" s="299">
        <v>560</v>
      </c>
      <c r="G120" s="299">
        <f t="shared" si="133"/>
        <v>940446.26182873116</v>
      </c>
      <c r="H120" s="227">
        <f t="shared" si="134"/>
        <v>29.921428571428571</v>
      </c>
      <c r="I120" s="227">
        <f t="shared" si="146"/>
        <v>21.854090104804683</v>
      </c>
      <c r="J120" s="28">
        <f t="shared" si="147"/>
        <v>0.73038257690920405</v>
      </c>
      <c r="K120" s="230">
        <f t="shared" si="148"/>
        <v>35.414547473428158</v>
      </c>
      <c r="L120" s="228"/>
      <c r="P120" t="s">
        <v>25</v>
      </c>
      <c r="T120" t="s">
        <v>25</v>
      </c>
      <c r="Y120" s="382"/>
      <c r="Z120" s="382"/>
      <c r="AA120" s="382"/>
      <c r="AB120" s="382"/>
      <c r="AC120" s="382"/>
      <c r="AG120" s="382"/>
      <c r="AH120" s="382"/>
      <c r="AI120" s="382"/>
    </row>
    <row r="121" spans="1:35" ht="21">
      <c r="A121" s="332" t="s">
        <v>6836</v>
      </c>
      <c r="B121" s="332" t="s">
        <v>6814</v>
      </c>
      <c r="C121" s="347">
        <v>17050</v>
      </c>
      <c r="D121" s="335">
        <v>10193</v>
      </c>
      <c r="E121" s="350" t="s">
        <v>5139</v>
      </c>
      <c r="F121" s="299">
        <v>560</v>
      </c>
      <c r="G121" s="299">
        <f t="shared" si="133"/>
        <v>308861.7748174154</v>
      </c>
      <c r="H121" s="227">
        <f t="shared" si="134"/>
        <v>30.446428571428573</v>
      </c>
      <c r="I121" s="227">
        <f t="shared" si="146"/>
        <v>21.854090104804683</v>
      </c>
      <c r="J121" s="28">
        <f t="shared" si="147"/>
        <v>0.71778829669739719</v>
      </c>
      <c r="K121" s="230">
        <f t="shared" si="148"/>
        <v>37.816843782642053</v>
      </c>
      <c r="L121" s="228"/>
      <c r="N121" t="s">
        <v>25</v>
      </c>
      <c r="O121" t="s">
        <v>25</v>
      </c>
      <c r="T121" s="368" t="s">
        <v>25</v>
      </c>
      <c r="Z121" s="382"/>
      <c r="AA121" s="382"/>
      <c r="AB121" s="382"/>
      <c r="AC121" s="382"/>
      <c r="AG121" s="382"/>
      <c r="AH121" s="382"/>
      <c r="AI121" s="382"/>
    </row>
    <row r="122" spans="1:35" ht="21">
      <c r="A122" s="332" t="s">
        <v>6821</v>
      </c>
      <c r="B122" s="332" t="s">
        <v>6814</v>
      </c>
      <c r="C122" s="347">
        <v>14976</v>
      </c>
      <c r="D122" s="335">
        <v>584</v>
      </c>
      <c r="E122" s="350" t="s">
        <v>5139</v>
      </c>
      <c r="F122" s="372">
        <v>543</v>
      </c>
      <c r="G122" s="372">
        <f t="shared" si="133"/>
        <v>16030.040924111199</v>
      </c>
      <c r="H122" s="369">
        <f t="shared" si="134"/>
        <v>27.58011049723757</v>
      </c>
      <c r="I122" s="369">
        <f t="shared" si="146"/>
        <v>21.854090104804683</v>
      </c>
      <c r="J122" s="357">
        <f t="shared" ref="J122" si="149">I122/H122</f>
        <v>0.79238587920065051</v>
      </c>
      <c r="K122" s="371">
        <f t="shared" ref="K122" si="150">(1/J122-1.015)*100</f>
        <v>24.701138390904731</v>
      </c>
      <c r="L122" s="370"/>
      <c r="N122" t="s">
        <v>25</v>
      </c>
      <c r="O122" t="s">
        <v>25</v>
      </c>
      <c r="T122" s="368" t="s">
        <v>25</v>
      </c>
      <c r="U122" s="196"/>
    </row>
    <row r="123" spans="1:35" ht="21">
      <c r="A123" s="332" t="s">
        <v>6821</v>
      </c>
      <c r="B123" s="332" t="s">
        <v>6814</v>
      </c>
      <c r="C123" s="347">
        <v>14969</v>
      </c>
      <c r="D123" s="335">
        <v>43109</v>
      </c>
      <c r="E123" s="350" t="s">
        <v>5139</v>
      </c>
      <c r="F123" s="372">
        <v>541</v>
      </c>
      <c r="G123" s="372">
        <f t="shared" si="133"/>
        <v>1187105.3276976866</v>
      </c>
      <c r="H123" s="369">
        <f t="shared" si="134"/>
        <v>27.669131238447321</v>
      </c>
      <c r="I123" s="369">
        <f t="shared" si="146"/>
        <v>21.854090104804683</v>
      </c>
      <c r="J123" s="357">
        <f t="shared" ref="J123" si="151">I123/H123</f>
        <v>0.78983651190455828</v>
      </c>
      <c r="K123" s="371">
        <f t="shared" ref="K123" si="152">(1/J123-1.015)*100</f>
        <v>25.108479720526944</v>
      </c>
      <c r="L123" s="370"/>
      <c r="N123" t="s">
        <v>25</v>
      </c>
      <c r="O123" t="s">
        <v>25</v>
      </c>
      <c r="T123" s="368"/>
      <c r="U123" t="s">
        <v>25</v>
      </c>
      <c r="AI123" s="368"/>
    </row>
    <row r="124" spans="1:35" ht="21">
      <c r="A124" s="332" t="s">
        <v>6842</v>
      </c>
      <c r="B124" s="332" t="s">
        <v>6814</v>
      </c>
      <c r="C124" s="347">
        <v>14870</v>
      </c>
      <c r="D124" s="335">
        <v>43136</v>
      </c>
      <c r="E124" s="350" t="s">
        <v>5139</v>
      </c>
      <c r="F124" s="372">
        <v>541.11710000000005</v>
      </c>
      <c r="G124" s="372">
        <f t="shared" si="133"/>
        <v>1179737.4412215259</v>
      </c>
      <c r="H124" s="369">
        <f t="shared" si="134"/>
        <v>27.480188668959084</v>
      </c>
      <c r="I124" s="369">
        <f t="shared" si="146"/>
        <v>21.854090104804683</v>
      </c>
      <c r="J124" s="357">
        <f t="shared" ref="J124:J125" si="153">I124/H124</f>
        <v>0.7952671056254611</v>
      </c>
      <c r="K124" s="371">
        <f t="shared" ref="K124:K125" si="154">(1/J124-1.015)*100</f>
        <v>24.243915839888896</v>
      </c>
      <c r="L124" s="370"/>
      <c r="N124" t="s">
        <v>25</v>
      </c>
      <c r="T124" s="368"/>
      <c r="U124" t="s">
        <v>25</v>
      </c>
      <c r="Y124" t="s">
        <v>25</v>
      </c>
      <c r="AH124" t="s">
        <v>25</v>
      </c>
    </row>
    <row r="125" spans="1:35" ht="21">
      <c r="A125" s="332" t="s">
        <v>6842</v>
      </c>
      <c r="B125" s="332" t="s">
        <v>6814</v>
      </c>
      <c r="C125" s="347">
        <v>14920</v>
      </c>
      <c r="D125" s="335">
        <v>109651</v>
      </c>
      <c r="E125" s="350" t="s">
        <v>5139</v>
      </c>
      <c r="F125" s="372">
        <v>541.15419999999995</v>
      </c>
      <c r="G125" s="372">
        <f t="shared" si="133"/>
        <v>3008750.4525413048</v>
      </c>
      <c r="H125" s="369">
        <f t="shared" si="134"/>
        <v>27.570699811624859</v>
      </c>
      <c r="I125" s="369">
        <f t="shared" si="146"/>
        <v>21.854090104804683</v>
      </c>
      <c r="J125" s="357">
        <f t="shared" si="153"/>
        <v>0.79265634365908133</v>
      </c>
      <c r="K125" s="371">
        <f t="shared" si="154"/>
        <v>24.658076952210273</v>
      </c>
      <c r="L125" s="370"/>
      <c r="O125" t="s">
        <v>25</v>
      </c>
      <c r="T125" s="368"/>
      <c r="U125" t="s">
        <v>25</v>
      </c>
      <c r="V125" t="s">
        <v>25</v>
      </c>
      <c r="X125" s="202" t="s">
        <v>5472</v>
      </c>
    </row>
    <row r="126" spans="1:35" ht="21">
      <c r="A126" s="332" t="s">
        <v>6833</v>
      </c>
      <c r="B126" s="332" t="s">
        <v>6814</v>
      </c>
      <c r="C126" s="347">
        <v>15990</v>
      </c>
      <c r="D126" s="335">
        <v>1</v>
      </c>
      <c r="E126" s="349" t="s">
        <v>6834</v>
      </c>
      <c r="F126" s="335">
        <v>10912</v>
      </c>
      <c r="G126" s="335">
        <f>C126*D126*0.99885/(F126*1.00115)</f>
        <v>1.4619927827133694</v>
      </c>
      <c r="H126" s="332">
        <f t="shared" si="134"/>
        <v>1.4653592375366569</v>
      </c>
      <c r="I126" s="332">
        <f>$O$26/$O$31</f>
        <v>1.2045161290322581</v>
      </c>
      <c r="J126" s="28">
        <f t="shared" si="147"/>
        <v>0.82199374609130715</v>
      </c>
      <c r="K126" s="230">
        <f>(1/J126-1.0046)*100</f>
        <v>21.195426790670481</v>
      </c>
      <c r="L126" s="228"/>
      <c r="O126" t="s">
        <v>25</v>
      </c>
      <c r="T126" s="368"/>
    </row>
    <row r="127" spans="1:35" ht="21">
      <c r="A127" s="332"/>
      <c r="B127" s="332"/>
      <c r="C127" s="347"/>
      <c r="D127" s="335"/>
      <c r="E127" s="348"/>
      <c r="F127" s="302"/>
      <c r="G127" s="302"/>
      <c r="H127" s="225"/>
      <c r="I127" s="225"/>
      <c r="J127" s="28"/>
      <c r="K127" s="230"/>
      <c r="L127" s="228"/>
      <c r="N127" t="s">
        <v>25</v>
      </c>
      <c r="R127" t="s">
        <v>25</v>
      </c>
      <c r="T127" s="368" t="s">
        <v>25</v>
      </c>
    </row>
    <row r="128" spans="1:35" ht="21">
      <c r="A128" s="332"/>
      <c r="B128" s="332"/>
      <c r="C128" s="347"/>
      <c r="D128" s="335"/>
      <c r="E128" s="341"/>
      <c r="F128" s="341"/>
      <c r="G128" s="331"/>
      <c r="H128" s="341"/>
      <c r="I128" s="341"/>
      <c r="J128" s="341"/>
      <c r="K128" s="342"/>
      <c r="L128" s="341"/>
      <c r="T128" s="36" t="s">
        <v>25</v>
      </c>
      <c r="U128" t="s">
        <v>25</v>
      </c>
    </row>
    <row r="129" spans="1:23" ht="21">
      <c r="A129" s="225" t="s">
        <v>6776</v>
      </c>
      <c r="B129" s="225" t="s">
        <v>4134</v>
      </c>
      <c r="C129" s="224">
        <v>1196.5446937999241</v>
      </c>
      <c r="D129" s="225">
        <v>1.0981620718462823</v>
      </c>
      <c r="E129" s="315" t="s">
        <v>4400</v>
      </c>
      <c r="F129" s="315">
        <v>785.87</v>
      </c>
      <c r="G129" s="315">
        <f>C129*D129*0.9912/(F129*1.003631981)</f>
        <v>1.6513208201489087</v>
      </c>
      <c r="H129" s="315">
        <f>C129/F129</f>
        <v>1.5225733184876939</v>
      </c>
      <c r="I129" s="315">
        <f>$O$22/$O$29</f>
        <v>1.8115318416523236</v>
      </c>
      <c r="J129" s="315">
        <f>I129/H129</f>
        <v>1.1897829941297275</v>
      </c>
      <c r="K129" s="316">
        <f>(1/J129-1.0256)*100</f>
        <v>-18.511059568517808</v>
      </c>
      <c r="L129" s="315"/>
      <c r="N129" t="s">
        <v>25</v>
      </c>
      <c r="P129" t="s">
        <v>25</v>
      </c>
      <c r="T129" s="36" t="s">
        <v>25</v>
      </c>
      <c r="U129" t="s">
        <v>25</v>
      </c>
    </row>
    <row r="130" spans="1:23" ht="21">
      <c r="A130" s="225"/>
      <c r="B130" s="225"/>
      <c r="C130" s="224"/>
      <c r="D130" s="225"/>
      <c r="E130" s="315"/>
      <c r="F130" s="315"/>
      <c r="G130" s="315"/>
      <c r="H130" s="315"/>
      <c r="I130" s="315"/>
      <c r="J130" s="315"/>
      <c r="K130" s="316"/>
      <c r="L130" s="315"/>
      <c r="P130" t="s">
        <v>25</v>
      </c>
      <c r="T130" s="368" t="s">
        <v>25</v>
      </c>
    </row>
    <row r="131" spans="1:23">
      <c r="A131" s="307" t="s">
        <v>5281</v>
      </c>
      <c r="B131" s="28"/>
      <c r="C131" s="1"/>
      <c r="D131" s="28"/>
      <c r="E131" s="28"/>
      <c r="F131" s="1"/>
      <c r="G131" s="28"/>
      <c r="H131" s="28"/>
      <c r="I131" s="28"/>
      <c r="J131" s="28"/>
      <c r="K131" s="28"/>
      <c r="L131" s="28"/>
      <c r="O131" t="s">
        <v>5357</v>
      </c>
    </row>
    <row r="132" spans="1:23" ht="15.75">
      <c r="A132" s="229" t="s">
        <v>6695</v>
      </c>
      <c r="B132" s="225" t="s">
        <v>4134</v>
      </c>
      <c r="C132" s="224">
        <v>1321.2985926207684</v>
      </c>
      <c r="D132" s="302">
        <v>19427.703263528358</v>
      </c>
      <c r="E132" s="227" t="s">
        <v>5139</v>
      </c>
      <c r="F132" s="226">
        <v>486.84610260918487</v>
      </c>
      <c r="G132" s="299">
        <f t="shared" ref="G132:G158" si="155">C132*D132*0.9912/(F132*1.003631981)</f>
        <v>52073.592214102442</v>
      </c>
      <c r="H132" s="227">
        <f t="shared" ref="H132:H158" si="156">C132/F132</f>
        <v>2.7139964468020796</v>
      </c>
      <c r="I132" s="227">
        <f t="shared" ref="I132:I158" si="157">$O$22/$O$23</f>
        <v>2.4639989111201852</v>
      </c>
      <c r="J132" s="227">
        <f>I132/H132</f>
        <v>0.90788582793596939</v>
      </c>
      <c r="K132" s="227">
        <f>(1/J132-1.0256)*100</f>
        <v>7.5860083668722211</v>
      </c>
      <c r="L132" s="227"/>
      <c r="O132" t="s">
        <v>5358</v>
      </c>
    </row>
    <row r="133" spans="1:23" ht="15.75">
      <c r="A133" s="229" t="s">
        <v>6699</v>
      </c>
      <c r="B133" s="225" t="s">
        <v>4134</v>
      </c>
      <c r="C133" s="224">
        <v>1322.2092050209205</v>
      </c>
      <c r="D133" s="302">
        <v>19425.955821644486</v>
      </c>
      <c r="E133" s="227" t="s">
        <v>5139</v>
      </c>
      <c r="F133" s="226">
        <v>486.84610260918487</v>
      </c>
      <c r="G133" s="299">
        <f t="shared" si="155"/>
        <v>52104.793252817217</v>
      </c>
      <c r="H133" s="227">
        <f t="shared" si="156"/>
        <v>2.7158668785366089</v>
      </c>
      <c r="I133" s="227">
        <f t="shared" si="157"/>
        <v>2.4639989111201852</v>
      </c>
      <c r="J133" s="227">
        <f>I133/H133</f>
        <v>0.90726056221425044</v>
      </c>
      <c r="K133" s="227">
        <f>(1/J133-1.0256)*100</f>
        <v>7.6619187792546173</v>
      </c>
      <c r="L133" s="227"/>
      <c r="O133" t="s">
        <v>5359</v>
      </c>
      <c r="T133" t="s">
        <v>25</v>
      </c>
    </row>
    <row r="134" spans="1:23" ht="15.75">
      <c r="A134" s="229" t="s">
        <v>6699</v>
      </c>
      <c r="B134" s="225" t="s">
        <v>4134</v>
      </c>
      <c r="C134" s="224">
        <v>1323.1198174210726</v>
      </c>
      <c r="D134" s="302">
        <v>19424.208379760723</v>
      </c>
      <c r="E134" s="227" t="s">
        <v>5139</v>
      </c>
      <c r="F134" s="226">
        <v>486.84610260918487</v>
      </c>
      <c r="G134" s="299">
        <f t="shared" si="155"/>
        <v>52135.987835563828</v>
      </c>
      <c r="H134" s="227">
        <f t="shared" si="156"/>
        <v>2.7177373102711382</v>
      </c>
      <c r="I134" s="227">
        <f t="shared" si="157"/>
        <v>2.4639989111201852</v>
      </c>
      <c r="J134" s="227">
        <f t="shared" ref="J134:J150" si="158">I134/H134</f>
        <v>0.90663615714734458</v>
      </c>
      <c r="K134" s="227">
        <f t="shared" ref="K134:K150" si="159">(1/J134-1.0256)*100</f>
        <v>7.7378291916370134</v>
      </c>
      <c r="L134" s="227"/>
      <c r="N134" t="s">
        <v>25</v>
      </c>
      <c r="O134" t="s">
        <v>5360</v>
      </c>
      <c r="U134" s="368"/>
      <c r="W134" t="s">
        <v>25</v>
      </c>
    </row>
    <row r="135" spans="1:23" ht="15.75">
      <c r="A135" s="229" t="s">
        <v>6699</v>
      </c>
      <c r="B135" s="225" t="s">
        <v>4134</v>
      </c>
      <c r="C135" s="224">
        <v>1324.0304298212247</v>
      </c>
      <c r="D135" s="302">
        <v>19422.460937876847</v>
      </c>
      <c r="E135" s="227" t="s">
        <v>5139</v>
      </c>
      <c r="F135" s="226">
        <v>486.84610260918487</v>
      </c>
      <c r="G135" s="299">
        <f t="shared" si="155"/>
        <v>52167.175962341658</v>
      </c>
      <c r="H135" s="227">
        <f t="shared" si="156"/>
        <v>2.7196077420056675</v>
      </c>
      <c r="I135" s="227">
        <f t="shared" si="157"/>
        <v>2.4639989111201852</v>
      </c>
      <c r="J135" s="227">
        <f t="shared" si="158"/>
        <v>0.90601261095948538</v>
      </c>
      <c r="K135" s="227">
        <f t="shared" si="159"/>
        <v>7.8137396040194318</v>
      </c>
      <c r="L135" s="227"/>
      <c r="O135" t="s">
        <v>5361</v>
      </c>
      <c r="T135" s="522"/>
      <c r="U135" s="368" t="s">
        <v>25</v>
      </c>
    </row>
    <row r="136" spans="1:23" ht="15.75">
      <c r="A136" s="229" t="s">
        <v>6699</v>
      </c>
      <c r="B136" s="225" t="s">
        <v>4134</v>
      </c>
      <c r="C136" s="224">
        <v>1324.9410422213771</v>
      </c>
      <c r="D136" s="302">
        <v>19420.713495993088</v>
      </c>
      <c r="E136" s="227" t="s">
        <v>5139</v>
      </c>
      <c r="F136" s="226">
        <v>486.84610260918487</v>
      </c>
      <c r="G136" s="299">
        <f t="shared" si="155"/>
        <v>52198.357633151354</v>
      </c>
      <c r="H136" s="227">
        <f t="shared" si="156"/>
        <v>2.7214781737401972</v>
      </c>
      <c r="I136" s="227">
        <f t="shared" si="157"/>
        <v>2.4639989111201852</v>
      </c>
      <c r="J136" s="227">
        <f t="shared" si="158"/>
        <v>0.90538992187978795</v>
      </c>
      <c r="K136" s="227">
        <f t="shared" si="159"/>
        <v>7.8896500164018502</v>
      </c>
      <c r="L136" s="227"/>
      <c r="O136" t="s">
        <v>5362</v>
      </c>
      <c r="T136" s="522"/>
      <c r="U136" s="368"/>
    </row>
    <row r="137" spans="1:23" ht="15.75">
      <c r="A137" s="229" t="s">
        <v>6699</v>
      </c>
      <c r="B137" s="225" t="s">
        <v>4134</v>
      </c>
      <c r="C137" s="224">
        <v>1325.8516546215292</v>
      </c>
      <c r="D137" s="302">
        <v>19418.966054109322</v>
      </c>
      <c r="E137" s="227" t="s">
        <v>5139</v>
      </c>
      <c r="F137" s="226">
        <v>486.84610260918487</v>
      </c>
      <c r="G137" s="299">
        <f t="shared" si="155"/>
        <v>52229.532847992545</v>
      </c>
      <c r="H137" s="227">
        <f t="shared" si="156"/>
        <v>2.7233486054747265</v>
      </c>
      <c r="I137" s="227">
        <f t="shared" si="157"/>
        <v>2.4639989111201852</v>
      </c>
      <c r="J137" s="227">
        <f t="shared" si="158"/>
        <v>0.9047680881422332</v>
      </c>
      <c r="K137" s="227">
        <f t="shared" si="159"/>
        <v>7.9655604287842463</v>
      </c>
      <c r="L137" s="227"/>
      <c r="T137" s="522"/>
      <c r="U137" s="368"/>
    </row>
    <row r="138" spans="1:23" ht="15.75">
      <c r="A138" s="229" t="s">
        <v>6699</v>
      </c>
      <c r="B138" s="225" t="s">
        <v>4134</v>
      </c>
      <c r="C138" s="224">
        <v>1326.7622670216813</v>
      </c>
      <c r="D138" s="302">
        <v>19417.21861222545</v>
      </c>
      <c r="E138" s="227" t="s">
        <v>5139</v>
      </c>
      <c r="F138" s="226">
        <v>486.84610260918487</v>
      </c>
      <c r="G138" s="299">
        <f t="shared" si="155"/>
        <v>52260.701606864997</v>
      </c>
      <c r="H138" s="227">
        <f t="shared" si="156"/>
        <v>2.7252190372092557</v>
      </c>
      <c r="I138" s="227">
        <f t="shared" si="157"/>
        <v>2.4639989111201852</v>
      </c>
      <c r="J138" s="227">
        <f t="shared" si="158"/>
        <v>0.90414710798564968</v>
      </c>
      <c r="K138" s="227">
        <f t="shared" si="159"/>
        <v>8.0414708411666638</v>
      </c>
      <c r="L138" s="227"/>
      <c r="O138" t="s">
        <v>25</v>
      </c>
    </row>
    <row r="139" spans="1:23" ht="15.75">
      <c r="A139" s="229" t="s">
        <v>6699</v>
      </c>
      <c r="B139" s="225" t="s">
        <v>4134</v>
      </c>
      <c r="C139" s="224">
        <v>1327.6728794218334</v>
      </c>
      <c r="D139" s="302">
        <v>19415.471170341687</v>
      </c>
      <c r="E139" s="227" t="s">
        <v>5139</v>
      </c>
      <c r="F139" s="226">
        <v>486.84610260918487</v>
      </c>
      <c r="G139" s="299">
        <f t="shared" si="155"/>
        <v>52291.863909769265</v>
      </c>
      <c r="H139" s="227">
        <f t="shared" si="156"/>
        <v>2.727089468943785</v>
      </c>
      <c r="I139" s="227">
        <f t="shared" si="157"/>
        <v>2.4639989111201852</v>
      </c>
      <c r="J139" s="227">
        <f t="shared" si="158"/>
        <v>0.90352697965369799</v>
      </c>
      <c r="K139" s="227">
        <f t="shared" si="159"/>
        <v>8.1173812535490608</v>
      </c>
      <c r="L139" s="227"/>
    </row>
    <row r="140" spans="1:23" ht="15.75">
      <c r="A140" s="229" t="s">
        <v>6699</v>
      </c>
      <c r="B140" s="225" t="s">
        <v>4134</v>
      </c>
      <c r="C140" s="224">
        <v>1339.5108406238114</v>
      </c>
      <c r="D140" s="302">
        <v>19415.316517360377</v>
      </c>
      <c r="E140" s="227" t="s">
        <v>5139</v>
      </c>
      <c r="F140" s="226">
        <v>491.15716618608906</v>
      </c>
      <c r="G140" s="299">
        <f t="shared" si="155"/>
        <v>52294.621540621032</v>
      </c>
      <c r="H140" s="227">
        <f t="shared" si="156"/>
        <v>2.7272550068348167</v>
      </c>
      <c r="I140" s="227">
        <f t="shared" si="157"/>
        <v>2.4639989111201852</v>
      </c>
      <c r="J140" s="227">
        <f t="shared" si="158"/>
        <v>0.90347213771543866</v>
      </c>
      <c r="K140" s="227">
        <f t="shared" si="159"/>
        <v>8.1240995150825732</v>
      </c>
      <c r="L140" s="227"/>
      <c r="O140" t="s">
        <v>25</v>
      </c>
      <c r="T140" s="368"/>
    </row>
    <row r="141" spans="1:23" ht="15.75">
      <c r="A141" s="229" t="s">
        <v>6699</v>
      </c>
      <c r="B141" s="225" t="s">
        <v>4134</v>
      </c>
      <c r="C141" s="224">
        <v>1328.5834918219855</v>
      </c>
      <c r="D141" s="302">
        <v>19413.723728457924</v>
      </c>
      <c r="E141" s="227" t="s">
        <v>5139</v>
      </c>
      <c r="F141" s="226">
        <v>486.84610260918487</v>
      </c>
      <c r="G141" s="299">
        <f t="shared" si="155"/>
        <v>52323.019756705064</v>
      </c>
      <c r="H141" s="227">
        <f t="shared" si="156"/>
        <v>2.7289599006783143</v>
      </c>
      <c r="I141" s="227">
        <f t="shared" si="157"/>
        <v>2.4639989111201852</v>
      </c>
      <c r="J141" s="227">
        <f t="shared" si="158"/>
        <v>0.90290770139485377</v>
      </c>
      <c r="K141" s="227">
        <f t="shared" si="159"/>
        <v>8.1932916659314579</v>
      </c>
      <c r="L141" s="227"/>
    </row>
    <row r="142" spans="1:23" ht="15.75">
      <c r="A142" s="229" t="s">
        <v>6699</v>
      </c>
      <c r="B142" s="225" t="s">
        <v>4134</v>
      </c>
      <c r="C142" s="224">
        <v>1340.4214530239635</v>
      </c>
      <c r="D142" s="302">
        <v>19413.584413404144</v>
      </c>
      <c r="E142" s="227" t="s">
        <v>5139</v>
      </c>
      <c r="F142" s="226">
        <v>491.15716618608906</v>
      </c>
      <c r="G142" s="299">
        <f t="shared" si="155"/>
        <v>52325.503383182368</v>
      </c>
      <c r="H142" s="227">
        <f t="shared" si="156"/>
        <v>2.7291090211154656</v>
      </c>
      <c r="I142" s="227">
        <f t="shared" si="157"/>
        <v>2.4639989111201852</v>
      </c>
      <c r="J142" s="227">
        <f t="shared" si="158"/>
        <v>0.90285836588275159</v>
      </c>
      <c r="K142" s="227">
        <f t="shared" si="159"/>
        <v>8.1993436343994031</v>
      </c>
      <c r="L142" s="227"/>
      <c r="M142" t="s">
        <v>25</v>
      </c>
      <c r="O142" t="s">
        <v>25</v>
      </c>
    </row>
    <row r="143" spans="1:23" ht="15.75">
      <c r="A143" s="229" t="s">
        <v>6699</v>
      </c>
      <c r="B143" s="225" t="s">
        <v>4134</v>
      </c>
      <c r="C143" s="224">
        <v>1329.4941042221378</v>
      </c>
      <c r="D143" s="302">
        <v>19411.976286574052</v>
      </c>
      <c r="E143" s="227" t="s">
        <v>5139</v>
      </c>
      <c r="F143" s="226">
        <v>486.84610260918487</v>
      </c>
      <c r="G143" s="299">
        <f t="shared" si="155"/>
        <v>52354.169147672117</v>
      </c>
      <c r="H143" s="227">
        <f t="shared" si="156"/>
        <v>2.730830332412844</v>
      </c>
      <c r="I143" s="227">
        <f t="shared" si="157"/>
        <v>2.4639989111201852</v>
      </c>
      <c r="J143" s="227">
        <f t="shared" si="158"/>
        <v>0.90228927146239146</v>
      </c>
      <c r="K143" s="227">
        <f t="shared" si="159"/>
        <v>8.2692020783138744</v>
      </c>
      <c r="L143" s="227"/>
      <c r="O143" t="s">
        <v>25</v>
      </c>
    </row>
    <row r="144" spans="1:23" ht="15.75">
      <c r="A144" s="229" t="s">
        <v>6699</v>
      </c>
      <c r="B144" s="225" t="s">
        <v>4134</v>
      </c>
      <c r="C144" s="224">
        <v>1341.3320654241156</v>
      </c>
      <c r="D144" s="302">
        <v>19411.852309447906</v>
      </c>
      <c r="E144" s="227" t="s">
        <v>5139</v>
      </c>
      <c r="F144" s="226">
        <v>491.15716618608906</v>
      </c>
      <c r="G144" s="299">
        <f t="shared" si="155"/>
        <v>52356.378882610574</v>
      </c>
      <c r="H144" s="227">
        <f t="shared" si="156"/>
        <v>2.7309630353961145</v>
      </c>
      <c r="I144" s="227">
        <f t="shared" si="157"/>
        <v>2.4639989111201852</v>
      </c>
      <c r="J144" s="227">
        <f t="shared" si="158"/>
        <v>0.9022454274130417</v>
      </c>
      <c r="K144" s="227">
        <f t="shared" si="159"/>
        <v>8.274587753716256</v>
      </c>
      <c r="L144" s="227"/>
    </row>
    <row r="145" spans="1:20" ht="15.75">
      <c r="A145" s="229" t="s">
        <v>6699</v>
      </c>
      <c r="B145" s="225" t="s">
        <v>4134</v>
      </c>
      <c r="C145" s="224">
        <v>1330.4047166222899</v>
      </c>
      <c r="D145" s="302">
        <v>19410.228844690289</v>
      </c>
      <c r="E145" s="227" t="s">
        <v>5139</v>
      </c>
      <c r="F145" s="226">
        <v>486.84610260918487</v>
      </c>
      <c r="G145" s="299">
        <f t="shared" si="155"/>
        <v>52385.312082670993</v>
      </c>
      <c r="H145" s="227">
        <f t="shared" si="156"/>
        <v>2.7327007641473733</v>
      </c>
      <c r="I145" s="227">
        <f t="shared" si="157"/>
        <v>2.4639989111201852</v>
      </c>
      <c r="J145" s="227">
        <f t="shared" si="158"/>
        <v>0.90167168811436793</v>
      </c>
      <c r="K145" s="227">
        <f t="shared" si="159"/>
        <v>8.3451124906962946</v>
      </c>
      <c r="L145" s="227"/>
      <c r="M145" t="s">
        <v>25</v>
      </c>
    </row>
    <row r="146" spans="1:20" ht="15.75">
      <c r="A146" s="229" t="s">
        <v>6699</v>
      </c>
      <c r="B146" s="225" t="s">
        <v>4134</v>
      </c>
      <c r="C146" s="224">
        <v>1331.315329022442</v>
      </c>
      <c r="D146" s="302">
        <v>19408.481402806523</v>
      </c>
      <c r="E146" s="227" t="s">
        <v>5139</v>
      </c>
      <c r="F146" s="226">
        <v>486.84610260918487</v>
      </c>
      <c r="G146" s="299">
        <f t="shared" si="155"/>
        <v>52416.448561701378</v>
      </c>
      <c r="H146" s="227">
        <f t="shared" si="156"/>
        <v>2.7345711958819026</v>
      </c>
      <c r="I146" s="227">
        <f t="shared" si="157"/>
        <v>2.4639989111201852</v>
      </c>
      <c r="J146" s="227">
        <f t="shared" si="158"/>
        <v>0.90105494961360566</v>
      </c>
      <c r="K146" s="227">
        <f t="shared" si="159"/>
        <v>8.4210229030786898</v>
      </c>
      <c r="L146" s="227"/>
      <c r="M146" t="s">
        <v>25</v>
      </c>
    </row>
    <row r="147" spans="1:20" ht="15.75">
      <c r="A147" s="229" t="s">
        <v>6699</v>
      </c>
      <c r="B147" s="225" t="s">
        <v>4134</v>
      </c>
      <c r="C147" s="224">
        <v>1342.2426778242677</v>
      </c>
      <c r="D147" s="302">
        <v>19410.120205491785</v>
      </c>
      <c r="E147" s="227" t="s">
        <v>5139</v>
      </c>
      <c r="F147" s="226">
        <v>491.15716618608906</v>
      </c>
      <c r="G147" s="299">
        <f t="shared" si="155"/>
        <v>52387.248038905978</v>
      </c>
      <c r="H147" s="227">
        <f t="shared" si="156"/>
        <v>2.7328170496767634</v>
      </c>
      <c r="I147" s="227">
        <f t="shared" si="157"/>
        <v>2.4639989111201852</v>
      </c>
      <c r="J147" s="227">
        <f t="shared" si="158"/>
        <v>0.90163332061018353</v>
      </c>
      <c r="K147" s="227">
        <f t="shared" si="159"/>
        <v>8.3498318730330858</v>
      </c>
      <c r="L147" s="227"/>
      <c r="N147" t="s">
        <v>25</v>
      </c>
    </row>
    <row r="148" spans="1:20" ht="15.75">
      <c r="A148" s="229" t="s">
        <v>6699</v>
      </c>
      <c r="B148" s="225" t="s">
        <v>4134</v>
      </c>
      <c r="C148" s="224">
        <v>1332.2259414225941</v>
      </c>
      <c r="D148" s="302">
        <v>19406.733960922651</v>
      </c>
      <c r="E148" s="227" t="s">
        <v>5139</v>
      </c>
      <c r="F148" s="226">
        <v>486.84610260918487</v>
      </c>
      <c r="G148" s="299">
        <f t="shared" si="155"/>
        <v>52447.578584763025</v>
      </c>
      <c r="H148" s="227">
        <f t="shared" si="156"/>
        <v>2.7364416276164318</v>
      </c>
      <c r="I148" s="227">
        <f t="shared" si="157"/>
        <v>2.4639989111201852</v>
      </c>
      <c r="J148" s="227">
        <f t="shared" si="158"/>
        <v>0.90043905422767712</v>
      </c>
      <c r="K148" s="227">
        <f t="shared" si="159"/>
        <v>8.4969333154610851</v>
      </c>
      <c r="L148" s="227"/>
      <c r="O148" t="s">
        <v>25</v>
      </c>
    </row>
    <row r="149" spans="1:20" ht="15.75">
      <c r="A149" s="229" t="s">
        <v>6699</v>
      </c>
      <c r="B149" s="225" t="s">
        <v>4134</v>
      </c>
      <c r="C149" s="224">
        <v>1343.1532902244201</v>
      </c>
      <c r="D149" s="302">
        <v>19408.388101535551</v>
      </c>
      <c r="E149" s="227" t="s">
        <v>5139</v>
      </c>
      <c r="F149" s="226">
        <v>491.15716618608906</v>
      </c>
      <c r="G149" s="299">
        <f t="shared" si="155"/>
        <v>52418.110852067955</v>
      </c>
      <c r="H149" s="227">
        <f t="shared" si="156"/>
        <v>2.7346710639574128</v>
      </c>
      <c r="I149" s="227">
        <f t="shared" si="157"/>
        <v>2.4639989111201852</v>
      </c>
      <c r="J149" s="227">
        <f t="shared" si="158"/>
        <v>0.90102204378265116</v>
      </c>
      <c r="K149" s="227">
        <f t="shared" si="159"/>
        <v>8.4250759923499388</v>
      </c>
      <c r="L149" s="227"/>
    </row>
    <row r="150" spans="1:20" ht="15.75">
      <c r="A150" s="229" t="s">
        <v>6699</v>
      </c>
      <c r="B150" s="225" t="s">
        <v>4134</v>
      </c>
      <c r="C150" s="224">
        <v>1333.1365538227462</v>
      </c>
      <c r="D150" s="302">
        <v>19404.986519038888</v>
      </c>
      <c r="E150" s="227" t="s">
        <v>5139</v>
      </c>
      <c r="F150" s="226">
        <v>486.84610260918487</v>
      </c>
      <c r="G150" s="299">
        <f t="shared" si="155"/>
        <v>52478.702151856487</v>
      </c>
      <c r="H150" s="227">
        <f t="shared" si="156"/>
        <v>2.7383120593509611</v>
      </c>
      <c r="I150" s="227">
        <f t="shared" si="157"/>
        <v>2.4639989111201852</v>
      </c>
      <c r="J150" s="227">
        <f t="shared" si="158"/>
        <v>0.89982400022888775</v>
      </c>
      <c r="K150" s="227">
        <f t="shared" si="159"/>
        <v>8.5728437278435052</v>
      </c>
      <c r="L150" s="227"/>
    </row>
    <row r="151" spans="1:20" ht="15.75">
      <c r="A151" s="229" t="s">
        <v>6699</v>
      </c>
      <c r="B151" s="225" t="s">
        <v>4134</v>
      </c>
      <c r="C151" s="224">
        <v>1334.0471662228986</v>
      </c>
      <c r="D151" s="302">
        <v>15590.134724310776</v>
      </c>
      <c r="E151" s="227" t="s">
        <v>5139</v>
      </c>
      <c r="F151" s="226">
        <v>486.84610260918487</v>
      </c>
      <c r="G151" s="299">
        <f t="shared" si="155"/>
        <v>42190.644222022223</v>
      </c>
      <c r="H151" s="227">
        <f t="shared" si="156"/>
        <v>2.7401824910854908</v>
      </c>
      <c r="I151" s="227">
        <f t="shared" si="157"/>
        <v>2.4639989111201852</v>
      </c>
      <c r="J151" s="227">
        <f>I151/H151</f>
        <v>0.89920978589426037</v>
      </c>
      <c r="K151" s="227">
        <f>(1/J151-1.0256)*100</f>
        <v>8.6487541402259218</v>
      </c>
      <c r="L151" s="227"/>
      <c r="N151" t="s">
        <v>25</v>
      </c>
    </row>
    <row r="152" spans="1:20" ht="15.75">
      <c r="A152" s="229" t="s">
        <v>6710</v>
      </c>
      <c r="B152" s="225" t="s">
        <v>4134</v>
      </c>
      <c r="C152" s="224">
        <v>1331.315329022442</v>
      </c>
      <c r="D152" s="302">
        <v>31119.520462564746</v>
      </c>
      <c r="E152" s="227" t="s">
        <v>5139</v>
      </c>
      <c r="F152" s="226">
        <v>480</v>
      </c>
      <c r="G152" s="299">
        <f t="shared" si="155"/>
        <v>85243.130965768403</v>
      </c>
      <c r="H152" s="227">
        <f t="shared" si="156"/>
        <v>2.7735736021300874</v>
      </c>
      <c r="I152" s="227">
        <f t="shared" si="157"/>
        <v>2.4639989111201852</v>
      </c>
      <c r="J152" s="227">
        <f>I152/H152</f>
        <v>0.88838418033249567</v>
      </c>
      <c r="K152" s="227">
        <f>(1/J152-1.0256)*100</f>
        <v>10.003913466551118</v>
      </c>
      <c r="L152" s="227"/>
      <c r="N152" t="s">
        <v>25</v>
      </c>
    </row>
    <row r="153" spans="1:20" ht="15.75">
      <c r="A153" s="229" t="s">
        <v>6718</v>
      </c>
      <c r="B153" s="225" t="s">
        <v>4134</v>
      </c>
      <c r="C153" s="224">
        <v>1282.1422594142259</v>
      </c>
      <c r="D153" s="302">
        <v>10981.620718462824</v>
      </c>
      <c r="E153" s="227" t="s">
        <v>5139</v>
      </c>
      <c r="F153" s="226">
        <v>460.7</v>
      </c>
      <c r="G153" s="299">
        <f t="shared" si="155"/>
        <v>30183.614406606379</v>
      </c>
      <c r="H153" s="227">
        <f t="shared" si="156"/>
        <v>2.7830307345652829</v>
      </c>
      <c r="I153" s="227">
        <f t="shared" si="157"/>
        <v>2.4639989111201852</v>
      </c>
      <c r="J153" s="227">
        <f>I153/H153</f>
        <v>0.8853653251174276</v>
      </c>
      <c r="K153" s="227">
        <f>(1/J153-1.0256)*100</f>
        <v>10.387725829150597</v>
      </c>
      <c r="L153" s="227"/>
    </row>
    <row r="154" spans="1:20" ht="15.75">
      <c r="A154" s="229" t="s">
        <v>6718</v>
      </c>
      <c r="B154" s="225" t="s">
        <v>4134</v>
      </c>
      <c r="C154" s="224">
        <v>1290.3377710155953</v>
      </c>
      <c r="D154" s="302">
        <v>10981.620718462824</v>
      </c>
      <c r="E154" s="227" t="s">
        <v>5139</v>
      </c>
      <c r="F154" s="226">
        <v>460.7</v>
      </c>
      <c r="G154" s="299">
        <f t="shared" si="155"/>
        <v>30376.549441875883</v>
      </c>
      <c r="H154" s="227">
        <f t="shared" si="156"/>
        <v>2.8008199935220217</v>
      </c>
      <c r="I154" s="227">
        <f t="shared" si="157"/>
        <v>2.4639989111201852</v>
      </c>
      <c r="J154" s="227">
        <f t="shared" ref="J154:J160" si="160">I154/H154</f>
        <v>0.87974197442860824</v>
      </c>
      <c r="K154" s="227">
        <f t="shared" ref="K154:K160" si="161">(1/J154-1.0256)*100</f>
        <v>11.109692826638074</v>
      </c>
      <c r="L154" s="227"/>
      <c r="M154" t="s">
        <v>25</v>
      </c>
      <c r="O154" t="s">
        <v>25</v>
      </c>
    </row>
    <row r="155" spans="1:20" ht="15.75">
      <c r="A155" s="229" t="s">
        <v>6719</v>
      </c>
      <c r="B155" s="225" t="s">
        <v>4134</v>
      </c>
      <c r="C155" s="224">
        <v>1298.5332826169647</v>
      </c>
      <c r="D155" s="302">
        <v>29113.37468671679</v>
      </c>
      <c r="E155" s="227" t="s">
        <v>5139</v>
      </c>
      <c r="F155" s="226">
        <v>460.6</v>
      </c>
      <c r="G155" s="299">
        <f t="shared" si="155"/>
        <v>81060.355338675217</v>
      </c>
      <c r="H155" s="227">
        <f t="shared" si="156"/>
        <v>2.8192211954341393</v>
      </c>
      <c r="I155" s="227">
        <f t="shared" si="157"/>
        <v>2.4639989111201852</v>
      </c>
      <c r="J155" s="227">
        <f t="shared" si="160"/>
        <v>0.87399985326115837</v>
      </c>
      <c r="K155" s="227">
        <f t="shared" si="161"/>
        <v>11.856495182315751</v>
      </c>
      <c r="L155" s="227"/>
    </row>
    <row r="156" spans="1:20" ht="15.75">
      <c r="A156" s="229" t="s">
        <v>6719</v>
      </c>
      <c r="B156" s="225" t="s">
        <v>4134</v>
      </c>
      <c r="C156" s="224">
        <v>1303.9969570178775</v>
      </c>
      <c r="D156" s="302">
        <v>5337.0676691729323</v>
      </c>
      <c r="E156" s="227" t="s">
        <v>5139</v>
      </c>
      <c r="F156" s="226">
        <v>460.1</v>
      </c>
      <c r="G156" s="299">
        <f t="shared" si="155"/>
        <v>14938.736108785723</v>
      </c>
      <c r="H156" s="227">
        <f t="shared" si="156"/>
        <v>2.8341598718058627</v>
      </c>
      <c r="I156" s="227">
        <f t="shared" si="157"/>
        <v>2.4639989111201852</v>
      </c>
      <c r="J156" s="227">
        <f t="shared" si="160"/>
        <v>0.86939305563951153</v>
      </c>
      <c r="K156" s="227">
        <f t="shared" si="161"/>
        <v>12.462772900390373</v>
      </c>
      <c r="L156" s="227"/>
    </row>
    <row r="157" spans="1:20" ht="15.75">
      <c r="A157" s="229" t="s">
        <v>6721</v>
      </c>
      <c r="B157" s="225" t="s">
        <v>4134</v>
      </c>
      <c r="C157" s="224">
        <v>1273.0361354127044</v>
      </c>
      <c r="D157" s="302">
        <v>10981.620718462824</v>
      </c>
      <c r="E157" s="227" t="s">
        <v>5139</v>
      </c>
      <c r="F157" s="226">
        <v>444</v>
      </c>
      <c r="G157" s="299">
        <f t="shared" si="155"/>
        <v>31096.463640296653</v>
      </c>
      <c r="H157" s="227">
        <f t="shared" si="156"/>
        <v>2.8671985031817666</v>
      </c>
      <c r="I157" s="227">
        <f t="shared" si="157"/>
        <v>2.4639989111201852</v>
      </c>
      <c r="J157" s="227">
        <f>I157/H157</f>
        <v>0.85937506886455695</v>
      </c>
      <c r="K157" s="227">
        <f>(1/J157-1.0256)*100</f>
        <v>13.803627039034616</v>
      </c>
      <c r="L157" s="227"/>
    </row>
    <row r="158" spans="1:20" ht="15.75">
      <c r="A158" s="229" t="s">
        <v>6721</v>
      </c>
      <c r="B158" s="225" t="s">
        <v>4134</v>
      </c>
      <c r="C158" s="224">
        <v>1273.0361354127044</v>
      </c>
      <c r="D158" s="302">
        <v>13177.944862155387</v>
      </c>
      <c r="E158" s="227" t="s">
        <v>5139</v>
      </c>
      <c r="F158" s="226">
        <v>442.97</v>
      </c>
      <c r="G158" s="299">
        <f t="shared" si="155"/>
        <v>37402.523483644611</v>
      </c>
      <c r="H158" s="227">
        <f t="shared" si="156"/>
        <v>2.8738653529871194</v>
      </c>
      <c r="I158" s="227">
        <f t="shared" si="157"/>
        <v>2.4639989111201852</v>
      </c>
      <c r="J158" s="227">
        <f>I158/H158</f>
        <v>0.857381473547146</v>
      </c>
      <c r="K158" s="227">
        <f>(1/J158-1.0256)*100</f>
        <v>14.074197361743156</v>
      </c>
      <c r="L158" s="227"/>
      <c r="N158" t="s">
        <v>25</v>
      </c>
    </row>
    <row r="159" spans="1:20" ht="15.75">
      <c r="A159" s="229"/>
      <c r="B159" s="225"/>
      <c r="C159" s="224"/>
      <c r="D159" s="302"/>
      <c r="E159" s="227"/>
      <c r="F159" s="226"/>
      <c r="G159" s="299"/>
      <c r="H159" s="227"/>
      <c r="I159" s="227"/>
      <c r="J159" s="227"/>
      <c r="K159" s="227"/>
      <c r="L159" s="227"/>
      <c r="T159" t="s">
        <v>25</v>
      </c>
    </row>
    <row r="160" spans="1:20" ht="15.75">
      <c r="A160" s="229"/>
      <c r="B160" s="225"/>
      <c r="C160" s="224"/>
      <c r="D160" s="302"/>
      <c r="E160" s="227"/>
      <c r="F160" s="226"/>
      <c r="G160" s="299"/>
      <c r="H160" s="227"/>
      <c r="I160" s="227">
        <f>$O$22/$O$23</f>
        <v>2.4639989111201852</v>
      </c>
      <c r="J160" s="227" t="e">
        <f t="shared" si="160"/>
        <v>#DIV/0!</v>
      </c>
      <c r="K160" s="227" t="e">
        <f t="shared" si="161"/>
        <v>#DIV/0!</v>
      </c>
      <c r="L160" s="227"/>
    </row>
    <row r="162" spans="10:23">
      <c r="O162" t="s">
        <v>25</v>
      </c>
    </row>
    <row r="163" spans="10:23">
      <c r="O163" t="s">
        <v>25</v>
      </c>
    </row>
    <row r="165" spans="10:23">
      <c r="N165" t="s">
        <v>25</v>
      </c>
      <c r="O165" t="s">
        <v>25</v>
      </c>
      <c r="T165" s="519">
        <v>427061</v>
      </c>
      <c r="U165" s="519">
        <v>2617511</v>
      </c>
      <c r="V165">
        <v>2437975</v>
      </c>
      <c r="W165">
        <v>179537</v>
      </c>
    </row>
    <row r="166" spans="10:23">
      <c r="T166" s="519">
        <f>U166*T165/U165</f>
        <v>258283.61265072046</v>
      </c>
      <c r="U166" s="519">
        <v>1583053</v>
      </c>
      <c r="V166">
        <f>U166*V165/U165</f>
        <v>1474470.83801176</v>
      </c>
      <c r="W166">
        <f>U166*W165/U165</f>
        <v>108582.76678149585</v>
      </c>
    </row>
    <row r="167" spans="10:23">
      <c r="T167" s="519">
        <f>T165-T166</f>
        <v>168777.38734927954</v>
      </c>
      <c r="U167" s="519">
        <f>U165-U166</f>
        <v>1034458</v>
      </c>
      <c r="V167">
        <f>V165-V166</f>
        <v>963504.16198823997</v>
      </c>
      <c r="W167">
        <f>W165-W166</f>
        <v>70954.233218504145</v>
      </c>
    </row>
    <row r="168" spans="10:23">
      <c r="K168" t="s">
        <v>25</v>
      </c>
      <c r="N168" t="s">
        <v>25</v>
      </c>
    </row>
    <row r="169" spans="10:23">
      <c r="J169" t="s">
        <v>25</v>
      </c>
    </row>
    <row r="170" spans="10:23">
      <c r="N170" t="s">
        <v>25</v>
      </c>
    </row>
    <row r="172" spans="10:23">
      <c r="N172" t="s">
        <v>25</v>
      </c>
    </row>
    <row r="173" spans="10:23">
      <c r="N173" t="s">
        <v>25</v>
      </c>
      <c r="P173" t="s">
        <v>25</v>
      </c>
    </row>
    <row r="174" spans="10:23">
      <c r="N174" t="s">
        <v>25</v>
      </c>
    </row>
    <row r="179" spans="1:20">
      <c r="D179">
        <v>28000</v>
      </c>
    </row>
    <row r="181" spans="1:20">
      <c r="A181" t="s">
        <v>6570</v>
      </c>
      <c r="B181">
        <v>10330</v>
      </c>
      <c r="C181">
        <v>11900</v>
      </c>
      <c r="D181" s="7">
        <f t="shared" ref="D181:D203" si="162">B181*$D$179</f>
        <v>289240000</v>
      </c>
      <c r="E181" s="7">
        <f t="shared" ref="E181:E203" si="163">C181*$D$179</f>
        <v>333200000</v>
      </c>
      <c r="F181" s="7">
        <v>440000000</v>
      </c>
      <c r="G181">
        <f>(F181-E181)*100/E181</f>
        <v>32.052821128451377</v>
      </c>
      <c r="O181" t="s">
        <v>25</v>
      </c>
    </row>
    <row r="182" spans="1:20">
      <c r="A182" t="s">
        <v>6571</v>
      </c>
      <c r="C182">
        <v>18000</v>
      </c>
      <c r="D182" s="7">
        <f t="shared" si="162"/>
        <v>0</v>
      </c>
      <c r="E182" s="7">
        <f t="shared" si="163"/>
        <v>504000000</v>
      </c>
      <c r="F182" s="7">
        <v>700000000</v>
      </c>
      <c r="G182">
        <f t="shared" ref="G182:G199" si="164">(F182-E182)*100/E182</f>
        <v>38.888888888888886</v>
      </c>
    </row>
    <row r="183" spans="1:20">
      <c r="A183" t="s">
        <v>6572</v>
      </c>
      <c r="C183">
        <v>19000</v>
      </c>
      <c r="D183" s="7">
        <f t="shared" si="162"/>
        <v>0</v>
      </c>
      <c r="E183" s="7">
        <f t="shared" si="163"/>
        <v>532000000</v>
      </c>
      <c r="F183" s="7">
        <v>650000000</v>
      </c>
      <c r="G183">
        <f t="shared" si="164"/>
        <v>22.180451127819548</v>
      </c>
    </row>
    <row r="184" spans="1:20">
      <c r="A184" t="s">
        <v>6573</v>
      </c>
      <c r="C184">
        <v>23000</v>
      </c>
      <c r="D184" s="7">
        <f t="shared" si="162"/>
        <v>0</v>
      </c>
      <c r="E184" s="7">
        <f t="shared" si="163"/>
        <v>644000000</v>
      </c>
      <c r="F184" s="7">
        <v>930000000</v>
      </c>
      <c r="G184">
        <f t="shared" si="164"/>
        <v>44.409937888198755</v>
      </c>
    </row>
    <row r="185" spans="1:20">
      <c r="A185" t="s">
        <v>6574</v>
      </c>
      <c r="C185">
        <v>13000</v>
      </c>
      <c r="D185" s="7">
        <f t="shared" si="162"/>
        <v>0</v>
      </c>
      <c r="E185" s="7">
        <f t="shared" si="163"/>
        <v>364000000</v>
      </c>
      <c r="F185" s="7">
        <v>600000000</v>
      </c>
      <c r="G185">
        <f t="shared" si="164"/>
        <v>64.835164835164832</v>
      </c>
    </row>
    <row r="186" spans="1:20">
      <c r="A186" t="s">
        <v>6575</v>
      </c>
      <c r="C186">
        <v>13000</v>
      </c>
      <c r="D186" s="7">
        <f t="shared" si="162"/>
        <v>0</v>
      </c>
      <c r="E186" s="7">
        <f t="shared" si="163"/>
        <v>364000000</v>
      </c>
      <c r="F186" s="7">
        <v>400000000</v>
      </c>
      <c r="G186">
        <f t="shared" si="164"/>
        <v>9.8901098901098905</v>
      </c>
    </row>
    <row r="187" spans="1:20">
      <c r="A187" t="s">
        <v>6576</v>
      </c>
      <c r="C187">
        <v>13600</v>
      </c>
      <c r="D187" s="7">
        <f t="shared" si="162"/>
        <v>0</v>
      </c>
      <c r="E187" s="7">
        <f t="shared" si="163"/>
        <v>380800000</v>
      </c>
      <c r="F187" s="7">
        <v>520000000</v>
      </c>
      <c r="G187">
        <f t="shared" si="164"/>
        <v>36.554621848739494</v>
      </c>
    </row>
    <row r="188" spans="1:20">
      <c r="A188" t="s">
        <v>6577</v>
      </c>
      <c r="C188">
        <v>28000</v>
      </c>
      <c r="D188" s="7">
        <f t="shared" si="162"/>
        <v>0</v>
      </c>
      <c r="E188" s="7">
        <f t="shared" si="163"/>
        <v>784000000</v>
      </c>
      <c r="F188" s="7">
        <v>900000000</v>
      </c>
      <c r="G188">
        <f t="shared" si="164"/>
        <v>14.795918367346939</v>
      </c>
      <c r="T188" t="s">
        <v>25</v>
      </c>
    </row>
    <row r="189" spans="1:20">
      <c r="A189" t="s">
        <v>6578</v>
      </c>
      <c r="C189">
        <v>19000</v>
      </c>
      <c r="D189" s="7">
        <f t="shared" si="162"/>
        <v>0</v>
      </c>
      <c r="E189" s="7">
        <f t="shared" si="163"/>
        <v>532000000</v>
      </c>
      <c r="F189" s="7">
        <v>700000000</v>
      </c>
      <c r="G189">
        <f t="shared" si="164"/>
        <v>31.578947368421051</v>
      </c>
    </row>
    <row r="190" spans="1:20">
      <c r="A190" t="s">
        <v>6579</v>
      </c>
      <c r="C190">
        <v>15000</v>
      </c>
      <c r="D190" s="7">
        <f t="shared" si="162"/>
        <v>0</v>
      </c>
      <c r="E190" s="7">
        <f t="shared" si="163"/>
        <v>420000000</v>
      </c>
      <c r="F190" s="7">
        <v>700000000</v>
      </c>
      <c r="G190">
        <f t="shared" si="164"/>
        <v>66.666666666666671</v>
      </c>
      <c r="N190" t="s">
        <v>25</v>
      </c>
    </row>
    <row r="191" spans="1:20">
      <c r="A191" t="s">
        <v>6580</v>
      </c>
      <c r="C191">
        <v>21000</v>
      </c>
      <c r="D191" s="7">
        <f t="shared" si="162"/>
        <v>0</v>
      </c>
      <c r="E191" s="7">
        <f t="shared" si="163"/>
        <v>588000000</v>
      </c>
      <c r="F191" s="7">
        <v>700000000</v>
      </c>
      <c r="G191">
        <f t="shared" si="164"/>
        <v>19.047619047619047</v>
      </c>
    </row>
    <row r="192" spans="1:20">
      <c r="A192" t="s">
        <v>6581</v>
      </c>
      <c r="C192">
        <v>17000</v>
      </c>
      <c r="D192" s="7">
        <f t="shared" si="162"/>
        <v>0</v>
      </c>
      <c r="E192" s="7">
        <f t="shared" si="163"/>
        <v>476000000</v>
      </c>
      <c r="F192" s="7">
        <v>700000000</v>
      </c>
      <c r="G192">
        <f t="shared" si="164"/>
        <v>47.058823529411768</v>
      </c>
      <c r="O192" t="s">
        <v>25</v>
      </c>
    </row>
    <row r="193" spans="1:15">
      <c r="A193" t="s">
        <v>6582</v>
      </c>
      <c r="C193">
        <v>11000</v>
      </c>
      <c r="D193" s="7">
        <f t="shared" si="162"/>
        <v>0</v>
      </c>
      <c r="E193" s="7">
        <f t="shared" si="163"/>
        <v>308000000</v>
      </c>
      <c r="F193" s="7">
        <v>370000000</v>
      </c>
      <c r="G193">
        <f t="shared" si="164"/>
        <v>20.129870129870131</v>
      </c>
    </row>
    <row r="194" spans="1:15">
      <c r="D194" s="7">
        <f t="shared" si="162"/>
        <v>0</v>
      </c>
      <c r="E194" s="7">
        <f t="shared" si="163"/>
        <v>0</v>
      </c>
      <c r="F194" s="7"/>
      <c r="G194" t="e">
        <f t="shared" si="164"/>
        <v>#DIV/0!</v>
      </c>
    </row>
    <row r="195" spans="1:15">
      <c r="D195" s="7">
        <f t="shared" si="162"/>
        <v>0</v>
      </c>
      <c r="E195" s="7">
        <f t="shared" si="163"/>
        <v>0</v>
      </c>
      <c r="F195" s="7"/>
      <c r="G195" t="e">
        <f t="shared" si="164"/>
        <v>#DIV/0!</v>
      </c>
    </row>
    <row r="196" spans="1:15">
      <c r="D196" s="7">
        <f t="shared" si="162"/>
        <v>0</v>
      </c>
      <c r="E196" s="7">
        <f t="shared" si="163"/>
        <v>0</v>
      </c>
      <c r="F196" s="7"/>
      <c r="G196" t="e">
        <f t="shared" si="164"/>
        <v>#DIV/0!</v>
      </c>
    </row>
    <row r="197" spans="1:15">
      <c r="D197" s="7">
        <f t="shared" si="162"/>
        <v>0</v>
      </c>
      <c r="E197" s="7">
        <f t="shared" si="163"/>
        <v>0</v>
      </c>
      <c r="F197" s="7"/>
      <c r="G197" t="e">
        <f t="shared" si="164"/>
        <v>#DIV/0!</v>
      </c>
    </row>
    <row r="198" spans="1:15">
      <c r="D198" s="7">
        <f t="shared" si="162"/>
        <v>0</v>
      </c>
      <c r="E198" s="7">
        <f t="shared" si="163"/>
        <v>0</v>
      </c>
      <c r="F198" s="7"/>
      <c r="G198" t="e">
        <f t="shared" si="164"/>
        <v>#DIV/0!</v>
      </c>
    </row>
    <row r="199" spans="1:15">
      <c r="D199" s="7">
        <f t="shared" si="162"/>
        <v>0</v>
      </c>
      <c r="E199" s="7">
        <f t="shared" si="163"/>
        <v>0</v>
      </c>
      <c r="F199" s="7"/>
      <c r="G199" t="e">
        <f t="shared" si="164"/>
        <v>#DIV/0!</v>
      </c>
    </row>
    <row r="200" spans="1:15">
      <c r="D200" s="7">
        <f t="shared" si="162"/>
        <v>0</v>
      </c>
      <c r="E200" s="7">
        <f t="shared" si="163"/>
        <v>0</v>
      </c>
    </row>
    <row r="201" spans="1:15">
      <c r="D201" s="7">
        <f t="shared" si="162"/>
        <v>0</v>
      </c>
      <c r="E201" s="7">
        <f t="shared" si="163"/>
        <v>0</v>
      </c>
      <c r="O201" t="s">
        <v>25</v>
      </c>
    </row>
    <row r="202" spans="1:15">
      <c r="D202" s="7">
        <f t="shared" si="162"/>
        <v>0</v>
      </c>
      <c r="E202" s="7">
        <f t="shared" si="163"/>
        <v>0</v>
      </c>
    </row>
    <row r="203" spans="1:15">
      <c r="D203" s="7">
        <f t="shared" si="162"/>
        <v>0</v>
      </c>
      <c r="E203" s="7">
        <f t="shared" si="163"/>
        <v>0</v>
      </c>
    </row>
    <row r="208" spans="1:15">
      <c r="O208" t="s">
        <v>25</v>
      </c>
    </row>
    <row r="231" spans="14:14">
      <c r="N231" t="s">
        <v>25</v>
      </c>
    </row>
    <row r="233" spans="14:14">
      <c r="N233" t="s">
        <v>25</v>
      </c>
    </row>
  </sheetData>
  <phoneticPr fontId="25" type="noConversion"/>
  <conditionalFormatting sqref="K106:K160 K101:K104 K38 K95:K98 K1:K5 K9:K36 P39:Q9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105">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100">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99">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93">
    <cfRule type="cellIs" dxfId="10" priority="121" operator="lessThan">
      <formula>1</formula>
    </cfRule>
    <cfRule type="cellIs" dxfId="9" priority="122" operator="greaterThan">
      <formula>1</formula>
    </cfRule>
  </conditionalFormatting>
  <conditionalFormatting sqref="Q39:Q93">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5" sqref="D25"/>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6885</v>
      </c>
      <c r="B1" s="404" t="s">
        <v>6884</v>
      </c>
      <c r="C1" s="432" t="s">
        <v>6906</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6886</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6895</v>
      </c>
      <c r="B16" s="470" t="s">
        <v>6897</v>
      </c>
      <c r="C16" s="456"/>
      <c r="D16" s="456"/>
      <c r="E16" s="401"/>
      <c r="F16" s="401"/>
      <c r="G16" s="401"/>
      <c r="H16" s="401"/>
      <c r="I16" s="401"/>
      <c r="K16" s="401"/>
    </row>
    <row r="17" spans="1:20">
      <c r="A17" s="456"/>
      <c r="B17" s="456"/>
      <c r="C17" s="456"/>
      <c r="D17" s="456"/>
      <c r="E17" s="401"/>
      <c r="F17" s="401"/>
      <c r="K17" s="401" t="s">
        <v>6911</v>
      </c>
      <c r="L17" s="401">
        <v>14</v>
      </c>
    </row>
    <row r="18" spans="1:20">
      <c r="A18" s="496"/>
      <c r="B18" s="250" t="s">
        <v>4163</v>
      </c>
      <c r="C18" s="250" t="s">
        <v>6884</v>
      </c>
      <c r="D18" s="250" t="s">
        <v>6903</v>
      </c>
      <c r="E18" s="250" t="s">
        <v>840</v>
      </c>
      <c r="F18" s="401"/>
      <c r="K18" s="401" t="s">
        <v>6912</v>
      </c>
      <c r="L18" s="401">
        <v>31</v>
      </c>
    </row>
    <row r="19" spans="1:20">
      <c r="A19" s="354" t="s">
        <v>6920</v>
      </c>
      <c r="B19" s="357">
        <v>380</v>
      </c>
      <c r="C19" s="357">
        <v>450</v>
      </c>
      <c r="D19" s="357">
        <v>34</v>
      </c>
      <c r="E19" s="474">
        <f t="shared" ref="E19:E26" si="25">C19/(B19-D19)-1</f>
        <v>0.300578034682081</v>
      </c>
      <c r="F19" s="401"/>
      <c r="G19" s="401"/>
      <c r="H19" s="401" t="s">
        <v>25</v>
      </c>
      <c r="I19" s="401" t="s">
        <v>25</v>
      </c>
      <c r="K19" s="494" t="s">
        <v>6913</v>
      </c>
      <c r="L19" s="401">
        <v>31</v>
      </c>
    </row>
    <row r="20" spans="1:20">
      <c r="A20" s="354" t="s">
        <v>5594</v>
      </c>
      <c r="B20" s="354">
        <v>127</v>
      </c>
      <c r="C20" s="354">
        <v>100</v>
      </c>
      <c r="D20" s="354">
        <v>53</v>
      </c>
      <c r="E20" s="474">
        <f>C20/(B20-D20)-1</f>
        <v>0.35135135135135132</v>
      </c>
      <c r="F20" s="401">
        <f>E20/4.42</f>
        <v>7.9491255961844184E-2</v>
      </c>
      <c r="G20" s="401"/>
      <c r="H20" s="401"/>
      <c r="I20" s="401"/>
      <c r="K20" s="401" t="s">
        <v>6914</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6917</v>
      </c>
      <c r="B22" s="354">
        <v>844</v>
      </c>
      <c r="C22" s="354">
        <v>800</v>
      </c>
      <c r="D22" s="354">
        <v>132</v>
      </c>
      <c r="E22" s="474">
        <f t="shared" si="25"/>
        <v>0.12359550561797761</v>
      </c>
      <c r="F22" s="401"/>
      <c r="G22" s="401"/>
      <c r="H22" s="401"/>
      <c r="I22" s="401"/>
      <c r="K22" s="401" t="s">
        <v>6915</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6921</v>
      </c>
      <c r="B24" s="354">
        <v>2130</v>
      </c>
      <c r="C24" s="354">
        <v>2800</v>
      </c>
      <c r="D24" s="354">
        <v>135</v>
      </c>
      <c r="E24" s="474">
        <f t="shared" si="25"/>
        <v>0.40350877192982448</v>
      </c>
      <c r="F24" s="587">
        <v>1226</v>
      </c>
      <c r="G24" s="401"/>
      <c r="H24" s="401"/>
      <c r="I24" s="401"/>
      <c r="K24" s="401" t="s">
        <v>25</v>
      </c>
    </row>
    <row r="25" spans="1:20">
      <c r="A25" s="354" t="s">
        <v>6922</v>
      </c>
      <c r="B25" s="354">
        <v>1790</v>
      </c>
      <c r="C25" s="354">
        <v>2600</v>
      </c>
      <c r="D25" s="354">
        <v>180</v>
      </c>
      <c r="E25" s="474">
        <f t="shared" si="25"/>
        <v>0.61490683229813659</v>
      </c>
      <c r="F25" s="401"/>
      <c r="G25" s="401"/>
      <c r="H25" s="401"/>
      <c r="I25" s="401"/>
      <c r="K25" s="401"/>
    </row>
    <row r="26" spans="1:20">
      <c r="A26" s="354" t="s">
        <v>7064</v>
      </c>
      <c r="B26" s="354">
        <v>1128</v>
      </c>
      <c r="C26" s="354">
        <v>1400</v>
      </c>
      <c r="D26" s="354">
        <v>42</v>
      </c>
      <c r="E26" s="474">
        <f t="shared" si="25"/>
        <v>0.28913443830570906</v>
      </c>
      <c r="F26" s="401"/>
      <c r="G26" s="401"/>
      <c r="H26" s="401"/>
      <c r="I26" s="401"/>
    </row>
    <row r="27" spans="1:20" ht="15.75">
      <c r="A27" s="354" t="s">
        <v>6924</v>
      </c>
      <c r="B27" s="354">
        <v>556</v>
      </c>
      <c r="C27" s="354">
        <v>600</v>
      </c>
      <c r="D27" s="354">
        <v>60</v>
      </c>
      <c r="E27" s="474">
        <f t="shared" ref="E27" si="26">C27/(B27-D27)-1</f>
        <v>0.20967741935483875</v>
      </c>
      <c r="K27" s="557"/>
      <c r="L27" s="557"/>
      <c r="Q27" s="45" t="s">
        <v>7041</v>
      </c>
      <c r="R27" s="447">
        <v>250000000</v>
      </c>
      <c r="S27" s="569">
        <v>41</v>
      </c>
      <c r="T27" s="447">
        <f>R27*S27</f>
        <v>10250000000</v>
      </c>
    </row>
    <row r="28" spans="1:20" ht="15.75">
      <c r="A28" s="354" t="s">
        <v>6503</v>
      </c>
      <c r="B28" s="354">
        <v>630</v>
      </c>
      <c r="C28" s="354">
        <v>497</v>
      </c>
      <c r="D28" s="354">
        <v>220</v>
      </c>
      <c r="E28" s="474">
        <f t="shared" ref="E28" si="27">C28/(B28-D28)-1</f>
        <v>0.21219512195121948</v>
      </c>
      <c r="K28" s="401"/>
      <c r="L28" s="557"/>
      <c r="Q28" t="s">
        <v>7042</v>
      </c>
      <c r="R28" s="447">
        <v>110000000</v>
      </c>
      <c r="S28">
        <v>7</v>
      </c>
      <c r="T28" s="447">
        <f t="shared" ref="T28:T32" si="28">R28*S28</f>
        <v>770000000</v>
      </c>
    </row>
    <row r="29" spans="1:20" ht="15.75">
      <c r="A29" s="354" t="s">
        <v>6894</v>
      </c>
      <c r="B29" s="354">
        <v>18600</v>
      </c>
      <c r="C29" s="354">
        <v>20000</v>
      </c>
      <c r="D29" s="354">
        <v>600</v>
      </c>
      <c r="E29" s="474">
        <f t="shared" ref="E29" si="29">C29/(B29-D29)-1</f>
        <v>0.11111111111111116</v>
      </c>
      <c r="G29" s="354" t="s">
        <v>422</v>
      </c>
      <c r="H29" s="354" t="s">
        <v>690</v>
      </c>
      <c r="I29" s="354" t="s">
        <v>1005</v>
      </c>
      <c r="J29" s="354" t="s">
        <v>5281</v>
      </c>
      <c r="K29" s="354" t="s">
        <v>6837</v>
      </c>
      <c r="L29" s="557"/>
      <c r="Q29" t="s">
        <v>7043</v>
      </c>
      <c r="R29" s="447">
        <v>60000000</v>
      </c>
      <c r="S29">
        <v>2</v>
      </c>
      <c r="T29" s="447">
        <f t="shared" si="28"/>
        <v>120000000</v>
      </c>
    </row>
    <row r="30" spans="1:20" ht="15.75">
      <c r="A30" s="354" t="s">
        <v>6943</v>
      </c>
      <c r="B30" s="354">
        <v>3213</v>
      </c>
      <c r="C30" s="354">
        <v>3000</v>
      </c>
      <c r="D30" s="354">
        <v>500</v>
      </c>
      <c r="E30" s="474" t="s">
        <v>25</v>
      </c>
      <c r="G30" s="354">
        <v>8</v>
      </c>
      <c r="H30" s="354">
        <v>0</v>
      </c>
      <c r="I30" s="354">
        <v>0</v>
      </c>
      <c r="J30" s="354">
        <v>0</v>
      </c>
      <c r="K30" s="354">
        <v>0</v>
      </c>
      <c r="L30" s="557"/>
      <c r="Q30" t="s">
        <v>7046</v>
      </c>
      <c r="R30" s="447">
        <v>30000000</v>
      </c>
      <c r="S30">
        <v>6</v>
      </c>
      <c r="T30" s="447">
        <f t="shared" si="28"/>
        <v>180000000</v>
      </c>
    </row>
    <row r="31" spans="1:20" ht="15.75">
      <c r="G31" s="354"/>
      <c r="H31" s="354"/>
      <c r="I31" s="354"/>
      <c r="J31" s="354"/>
      <c r="K31" s="354"/>
      <c r="L31" s="557"/>
      <c r="Q31" t="s">
        <v>7045</v>
      </c>
      <c r="R31" s="447">
        <v>20000000</v>
      </c>
      <c r="S31">
        <v>1</v>
      </c>
      <c r="T31" s="447">
        <f t="shared" si="28"/>
        <v>20000000</v>
      </c>
    </row>
    <row r="32" spans="1:20" ht="15.75">
      <c r="G32" s="354"/>
      <c r="H32" s="354"/>
      <c r="I32" s="354"/>
      <c r="J32" s="354"/>
      <c r="K32" s="354"/>
      <c r="L32" s="557"/>
      <c r="Q32" t="s">
        <v>7044</v>
      </c>
      <c r="R32" s="447">
        <v>5000000</v>
      </c>
      <c r="S32">
        <v>3</v>
      </c>
      <c r="T32" s="447">
        <f t="shared" si="28"/>
        <v>15000000</v>
      </c>
    </row>
    <row r="33" spans="1:22">
      <c r="G33" s="354"/>
      <c r="H33" s="354"/>
      <c r="I33" s="354"/>
      <c r="J33" s="354"/>
      <c r="K33" s="354"/>
      <c r="L33" s="557"/>
    </row>
    <row r="34" spans="1:22" ht="21">
      <c r="A34" s="357" t="s">
        <v>861</v>
      </c>
      <c r="B34" s="505">
        <v>137</v>
      </c>
      <c r="G34" s="354"/>
      <c r="H34" s="354"/>
      <c r="I34" s="354"/>
      <c r="J34" s="354"/>
      <c r="K34" s="354"/>
      <c r="L34" s="557"/>
      <c r="S34" t="s">
        <v>7047</v>
      </c>
      <c r="T34" s="356">
        <f>T27+T28+T29+T30+T31+T32</f>
        <v>11355000000</v>
      </c>
      <c r="V34" s="356">
        <f>T34*V36/T36</f>
        <v>7777397.2602739725</v>
      </c>
    </row>
    <row r="35" spans="1:22" ht="18.75">
      <c r="A35" s="554" t="s">
        <v>7020</v>
      </c>
      <c r="B35" s="554">
        <v>1.0081648460518999</v>
      </c>
      <c r="G35" s="354"/>
      <c r="H35" s="354"/>
      <c r="I35" s="354"/>
      <c r="J35" s="354"/>
      <c r="K35" s="354"/>
      <c r="L35" s="557"/>
    </row>
    <row r="36" spans="1:22" ht="21">
      <c r="A36" s="357" t="s">
        <v>6958</v>
      </c>
      <c r="B36" s="505">
        <f>B34</f>
        <v>137</v>
      </c>
      <c r="G36" s="5">
        <f>SUM(G30:G34)</f>
        <v>8</v>
      </c>
      <c r="H36" s="5">
        <f>SUM(H30:H34)</f>
        <v>0</v>
      </c>
      <c r="I36" s="5">
        <f>SUM(I30:I34)</f>
        <v>0</v>
      </c>
      <c r="J36" s="5">
        <f>SUM(J30:J34)</f>
        <v>0</v>
      </c>
      <c r="K36" s="5">
        <f>SUM(K30:K34)</f>
        <v>0</v>
      </c>
      <c r="L36" s="557"/>
      <c r="T36" s="356">
        <v>365000000</v>
      </c>
      <c r="V36" s="356">
        <v>250000</v>
      </c>
    </row>
    <row r="37" spans="1:22" ht="21">
      <c r="A37" s="357" t="s">
        <v>6959</v>
      </c>
      <c r="B37" s="505">
        <f>B36*$B$35</f>
        <v>138.1185839091103</v>
      </c>
      <c r="L37" s="557"/>
    </row>
    <row r="38" spans="1:22" ht="21">
      <c r="A38" s="357" t="s">
        <v>6960</v>
      </c>
      <c r="B38" s="505">
        <f t="shared" ref="B38:B97" si="30">B37*$B$35</f>
        <v>139.2463008836346</v>
      </c>
      <c r="L38" s="557"/>
      <c r="P38" s="401" t="s">
        <v>61</v>
      </c>
    </row>
    <row r="39" spans="1:22" ht="21">
      <c r="A39" s="357" t="s">
        <v>6961</v>
      </c>
      <c r="B39" s="505">
        <f t="shared" si="30"/>
        <v>140.38322549364602</v>
      </c>
    </row>
    <row r="40" spans="1:22" ht="21">
      <c r="A40" s="550" t="s">
        <v>6962</v>
      </c>
      <c r="B40" s="505">
        <f t="shared" si="30"/>
        <v>141.5294329180708</v>
      </c>
    </row>
    <row r="41" spans="1:22" ht="21">
      <c r="A41" s="550" t="s">
        <v>6963</v>
      </c>
      <c r="B41" s="505">
        <f t="shared" si="30"/>
        <v>142.68499894965953</v>
      </c>
    </row>
    <row r="42" spans="1:22" ht="21">
      <c r="A42" s="551" t="s">
        <v>6964</v>
      </c>
      <c r="B42" s="505">
        <f t="shared" si="30"/>
        <v>143.849999999999</v>
      </c>
      <c r="C42">
        <f>100*(B42-$B$34)/$B$34</f>
        <v>4.9999999999992699</v>
      </c>
      <c r="E42" s="332" t="s">
        <v>4378</v>
      </c>
      <c r="F42" s="332">
        <v>3010</v>
      </c>
      <c r="G42" s="332">
        <v>3011</v>
      </c>
      <c r="H42" s="332">
        <v>3012</v>
      </c>
    </row>
    <row r="43" spans="1:22" ht="21">
      <c r="A43" s="553" t="s">
        <v>6965</v>
      </c>
      <c r="B43" s="505">
        <f t="shared" si="30"/>
        <v>145.02451310456479</v>
      </c>
      <c r="E43" s="332" t="s">
        <v>6884</v>
      </c>
      <c r="F43" s="347">
        <v>160</v>
      </c>
      <c r="G43" s="347">
        <v>170</v>
      </c>
      <c r="H43" s="347">
        <v>180</v>
      </c>
    </row>
    <row r="44" spans="1:22" ht="21">
      <c r="A44" s="550" t="s">
        <v>6966</v>
      </c>
      <c r="B44" s="505">
        <f t="shared" si="30"/>
        <v>146.20861592781532</v>
      </c>
      <c r="E44" s="332" t="s">
        <v>6949</v>
      </c>
      <c r="F44" s="347">
        <v>10</v>
      </c>
      <c r="G44" s="347">
        <v>5</v>
      </c>
      <c r="H44" s="347">
        <v>2</v>
      </c>
    </row>
    <row r="45" spans="1:22" ht="21">
      <c r="A45" s="550" t="s">
        <v>6967</v>
      </c>
      <c r="B45" s="505">
        <f t="shared" si="30"/>
        <v>147.40238676832729</v>
      </c>
      <c r="E45" s="332" t="s">
        <v>7021</v>
      </c>
      <c r="F45" s="347">
        <f>$B$34-F44</f>
        <v>127</v>
      </c>
      <c r="G45" s="347">
        <f t="shared" ref="G45:H45" si="31">$B$34-G44</f>
        <v>132</v>
      </c>
      <c r="H45" s="347">
        <f t="shared" si="31"/>
        <v>135</v>
      </c>
      <c r="I45" s="523"/>
    </row>
    <row r="46" spans="1:22" ht="21">
      <c r="A46" s="550" t="s">
        <v>6968</v>
      </c>
      <c r="B46" s="505">
        <f t="shared" si="30"/>
        <v>148.6059045639733</v>
      </c>
      <c r="E46" s="332" t="s">
        <v>7022</v>
      </c>
      <c r="F46" s="347">
        <f>IF(F43&gt;$B$42,$B$42,F43)</f>
        <v>143.849999999999</v>
      </c>
      <c r="G46" s="347">
        <f t="shared" ref="G46:H46" si="32">IF(G43&gt;$B$42,$B$42,G43)</f>
        <v>143.849999999999</v>
      </c>
      <c r="H46" s="347">
        <f t="shared" si="32"/>
        <v>143.849999999999</v>
      </c>
    </row>
    <row r="47" spans="1:22" ht="21">
      <c r="A47" s="550" t="s">
        <v>6969</v>
      </c>
      <c r="B47" s="505">
        <f t="shared" si="30"/>
        <v>149.81924889714148</v>
      </c>
      <c r="E47" s="552" t="s">
        <v>840</v>
      </c>
      <c r="F47" s="332">
        <f>100*(F46-F45)/F45</f>
        <v>13.267716535432283</v>
      </c>
      <c r="G47" s="519">
        <f t="shared" ref="G47:H47" si="33">100*(G46-G45)/G45</f>
        <v>8.9772727272719699</v>
      </c>
      <c r="H47" s="332">
        <f t="shared" si="33"/>
        <v>6.5555555555548146</v>
      </c>
    </row>
    <row r="48" spans="1:22" ht="21">
      <c r="A48" s="551" t="s">
        <v>6970</v>
      </c>
      <c r="B48" s="505">
        <f t="shared" si="30"/>
        <v>151.04249999999791</v>
      </c>
      <c r="C48">
        <f>100*(B48-$B$34)/$B$34</f>
        <v>10.249999999998478</v>
      </c>
    </row>
    <row r="49" spans="1:10" ht="21">
      <c r="A49" s="550" t="s">
        <v>6971</v>
      </c>
      <c r="B49" s="505">
        <f t="shared" si="30"/>
        <v>152.27573875979201</v>
      </c>
      <c r="E49" s="332" t="s">
        <v>4378</v>
      </c>
      <c r="F49" s="332">
        <v>4007</v>
      </c>
      <c r="G49" s="332">
        <v>4008</v>
      </c>
      <c r="H49" s="332">
        <v>4009</v>
      </c>
      <c r="I49" s="332">
        <v>4010</v>
      </c>
      <c r="J49" s="332">
        <v>4011</v>
      </c>
    </row>
    <row r="50" spans="1:10" ht="21">
      <c r="A50" s="550" t="s">
        <v>6972</v>
      </c>
      <c r="B50" s="505">
        <f t="shared" si="30"/>
        <v>153.51904672420503</v>
      </c>
      <c r="E50" s="332" t="s">
        <v>6884</v>
      </c>
      <c r="F50" s="332">
        <v>160</v>
      </c>
      <c r="G50" s="332">
        <v>170</v>
      </c>
      <c r="H50" s="332">
        <v>180</v>
      </c>
      <c r="I50" s="332">
        <v>190</v>
      </c>
      <c r="J50" s="332">
        <v>200</v>
      </c>
    </row>
    <row r="51" spans="1:10" ht="21">
      <c r="A51" s="550" t="s">
        <v>6973</v>
      </c>
      <c r="B51" s="505">
        <f t="shared" si="30"/>
        <v>154.77250610674258</v>
      </c>
      <c r="E51" s="332" t="s">
        <v>6949</v>
      </c>
      <c r="F51" s="332">
        <v>23</v>
      </c>
      <c r="G51" s="332">
        <v>18.5</v>
      </c>
      <c r="H51" s="332">
        <v>15</v>
      </c>
      <c r="I51" s="332">
        <v>12</v>
      </c>
      <c r="J51" s="332">
        <v>12.6</v>
      </c>
    </row>
    <row r="52" spans="1:10" ht="21">
      <c r="A52" s="550" t="s">
        <v>6974</v>
      </c>
      <c r="B52" s="505">
        <f t="shared" si="30"/>
        <v>156.03619979217089</v>
      </c>
      <c r="E52" s="332" t="s">
        <v>7021</v>
      </c>
      <c r="F52" s="347">
        <f>$B$34-F51</f>
        <v>114</v>
      </c>
      <c r="G52" s="347">
        <f t="shared" ref="G52:J52" si="34">$B$34-G51</f>
        <v>118.5</v>
      </c>
      <c r="H52" s="347">
        <f t="shared" si="34"/>
        <v>122</v>
      </c>
      <c r="I52" s="347">
        <f t="shared" si="34"/>
        <v>125</v>
      </c>
      <c r="J52" s="347">
        <f t="shared" si="34"/>
        <v>124.4</v>
      </c>
    </row>
    <row r="53" spans="1:10" ht="21">
      <c r="A53" s="550" t="s">
        <v>6975</v>
      </c>
      <c r="B53" s="505">
        <f t="shared" si="30"/>
        <v>157.31021134199747</v>
      </c>
      <c r="E53" s="332" t="s">
        <v>7022</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50" t="s">
        <v>6976</v>
      </c>
      <c r="B54" s="505">
        <f t="shared" si="30"/>
        <v>158.59462499999671</v>
      </c>
      <c r="E54" s="552" t="s">
        <v>840</v>
      </c>
      <c r="F54" s="332">
        <f t="shared" ref="F54:J54" si="36">100*(F53-F52)/F52</f>
        <v>32.493421052629749</v>
      </c>
      <c r="G54" s="332">
        <f t="shared" si="36"/>
        <v>27.462025316453939</v>
      </c>
      <c r="H54" s="332">
        <f t="shared" si="36"/>
        <v>23.805327868850753</v>
      </c>
      <c r="I54" s="519">
        <f t="shared" si="36"/>
        <v>20.833999999998333</v>
      </c>
      <c r="J54" s="519">
        <f t="shared" si="36"/>
        <v>21.416800643085136</v>
      </c>
    </row>
    <row r="55" spans="1:10" ht="21">
      <c r="A55" s="550" t="s">
        <v>6977</v>
      </c>
      <c r="B55" s="505">
        <f t="shared" si="30"/>
        <v>159.88952569778047</v>
      </c>
    </row>
    <row r="56" spans="1:10" ht="21">
      <c r="A56" s="550" t="s">
        <v>6978</v>
      </c>
      <c r="B56" s="505">
        <f t="shared" si="30"/>
        <v>161.19499906041415</v>
      </c>
    </row>
    <row r="57" spans="1:10" ht="21">
      <c r="A57" s="550" t="s">
        <v>6979</v>
      </c>
      <c r="B57" s="505">
        <f t="shared" si="30"/>
        <v>162.51113141207858</v>
      </c>
    </row>
    <row r="58" spans="1:10" ht="21">
      <c r="A58" s="550" t="s">
        <v>6980</v>
      </c>
      <c r="B58" s="505">
        <f t="shared" si="30"/>
        <v>163.83800978177828</v>
      </c>
    </row>
    <row r="59" spans="1:10" ht="21">
      <c r="A59" s="551" t="s">
        <v>6981</v>
      </c>
      <c r="B59" s="505">
        <f t="shared" si="30"/>
        <v>165.17572190909618</v>
      </c>
      <c r="C59">
        <f>100*(B59-$B$34)/$B$34</f>
        <v>20.566220371603052</v>
      </c>
      <c r="E59" s="332" t="s">
        <v>4378</v>
      </c>
      <c r="F59" s="332">
        <v>6011</v>
      </c>
      <c r="G59" s="332">
        <v>6012</v>
      </c>
      <c r="H59" s="332">
        <v>6013</v>
      </c>
      <c r="I59" s="332">
        <v>6014</v>
      </c>
    </row>
    <row r="60" spans="1:10" ht="21">
      <c r="A60" s="550" t="s">
        <v>6982</v>
      </c>
      <c r="B60" s="505">
        <f t="shared" si="30"/>
        <v>166.52435624999538</v>
      </c>
      <c r="E60" s="332" t="s">
        <v>6884</v>
      </c>
      <c r="F60" s="332">
        <v>150</v>
      </c>
      <c r="G60" s="332">
        <v>160</v>
      </c>
      <c r="H60" s="332">
        <v>170</v>
      </c>
      <c r="I60" s="332">
        <v>180</v>
      </c>
    </row>
    <row r="61" spans="1:10" ht="21">
      <c r="A61" s="550" t="s">
        <v>6983</v>
      </c>
      <c r="B61" s="505">
        <f t="shared" si="30"/>
        <v>167.88400198266834</v>
      </c>
      <c r="E61" s="332" t="s">
        <v>6949</v>
      </c>
      <c r="F61" s="332">
        <v>40</v>
      </c>
      <c r="G61" s="332">
        <v>39</v>
      </c>
      <c r="H61" s="332">
        <v>29</v>
      </c>
      <c r="I61" s="332">
        <v>35</v>
      </c>
    </row>
    <row r="62" spans="1:10" ht="21">
      <c r="A62" s="550" t="s">
        <v>6984</v>
      </c>
      <c r="B62" s="505">
        <f t="shared" si="30"/>
        <v>169.2547490134337</v>
      </c>
      <c r="E62" s="332" t="s">
        <v>7021</v>
      </c>
      <c r="F62" s="347">
        <f>$B$34-F61</f>
        <v>97</v>
      </c>
      <c r="G62" s="347">
        <f t="shared" ref="G62" si="37">$B$34-G61</f>
        <v>98</v>
      </c>
      <c r="H62" s="347">
        <f t="shared" ref="H62" si="38">$B$34-H61</f>
        <v>108</v>
      </c>
      <c r="I62" s="347">
        <f t="shared" ref="I62" si="39">$B$34-I61</f>
        <v>102</v>
      </c>
    </row>
    <row r="63" spans="1:10" ht="21">
      <c r="A63" s="550" t="s">
        <v>6985</v>
      </c>
      <c r="B63" s="505">
        <f t="shared" si="30"/>
        <v>170.63668798268134</v>
      </c>
      <c r="E63" s="332" t="s">
        <v>7022</v>
      </c>
      <c r="F63" s="347">
        <f>IF(F60&gt;$B$59,$B$59,F60)</f>
        <v>150</v>
      </c>
      <c r="G63" s="347">
        <f t="shared" ref="G63:I63" si="40">IF(G60&gt;$B$59,$B$59,G60)</f>
        <v>160</v>
      </c>
      <c r="H63" s="347">
        <f t="shared" si="40"/>
        <v>165.17572190909618</v>
      </c>
      <c r="I63" s="347">
        <f t="shared" si="40"/>
        <v>165.17572190909618</v>
      </c>
    </row>
    <row r="64" spans="1:10" ht="21">
      <c r="A64" s="550" t="s">
        <v>6986</v>
      </c>
      <c r="B64" s="505">
        <f t="shared" si="30"/>
        <v>172.02991027086603</v>
      </c>
      <c r="E64" s="552" t="s">
        <v>840</v>
      </c>
      <c r="F64" s="332">
        <f t="shared" ref="F64" si="41">100*(F63-F62)/F62</f>
        <v>54.639175257731956</v>
      </c>
      <c r="G64" s="332">
        <f t="shared" ref="G64" si="42">100*(G63-G62)/G62</f>
        <v>63.265306122448976</v>
      </c>
      <c r="H64" s="332">
        <f t="shared" ref="H64" si="43">100*(H63-H62)/H62</f>
        <v>52.94048324916313</v>
      </c>
      <c r="I64" s="519">
        <f t="shared" ref="I64" si="44">100*(I63-I62)/I62</f>
        <v>61.936982263819786</v>
      </c>
    </row>
    <row r="65" spans="1:2" ht="21">
      <c r="A65" s="550" t="s">
        <v>6987</v>
      </c>
      <c r="B65" s="505">
        <f t="shared" si="30"/>
        <v>173.4345080045498</v>
      </c>
    </row>
    <row r="66" spans="1:2" ht="21">
      <c r="A66" s="550" t="s">
        <v>6988</v>
      </c>
      <c r="B66" s="505">
        <f t="shared" si="30"/>
        <v>174.85057406249396</v>
      </c>
    </row>
    <row r="67" spans="1:2" ht="21">
      <c r="A67" s="550" t="s">
        <v>6989</v>
      </c>
      <c r="B67" s="505">
        <f t="shared" si="30"/>
        <v>176.27820208180054</v>
      </c>
    </row>
    <row r="68" spans="1:2" ht="21">
      <c r="A68" s="550" t="s">
        <v>6990</v>
      </c>
      <c r="B68" s="505">
        <f t="shared" si="30"/>
        <v>177.71748646410416</v>
      </c>
    </row>
    <row r="69" spans="1:2" ht="21">
      <c r="A69" s="550" t="s">
        <v>6991</v>
      </c>
      <c r="B69" s="505">
        <f t="shared" si="30"/>
        <v>179.16852238181417</v>
      </c>
    </row>
    <row r="70" spans="1:2" ht="21">
      <c r="A70" s="550" t="s">
        <v>6992</v>
      </c>
      <c r="B70" s="505">
        <f t="shared" si="30"/>
        <v>180.63140578440806</v>
      </c>
    </row>
    <row r="71" spans="1:2" ht="21">
      <c r="A71" s="550" t="s">
        <v>6993</v>
      </c>
      <c r="B71" s="505">
        <f t="shared" si="30"/>
        <v>182.10623340477602</v>
      </c>
    </row>
    <row r="72" spans="1:2" ht="21">
      <c r="A72" s="550" t="s">
        <v>6994</v>
      </c>
      <c r="B72" s="505">
        <f t="shared" si="30"/>
        <v>183.59310276561737</v>
      </c>
    </row>
    <row r="73" spans="1:2" ht="21">
      <c r="A73" s="550" t="s">
        <v>6995</v>
      </c>
      <c r="B73" s="505">
        <f t="shared" si="30"/>
        <v>185.09211218588928</v>
      </c>
    </row>
    <row r="74" spans="1:2" ht="21">
      <c r="A74" s="550" t="s">
        <v>6996</v>
      </c>
      <c r="B74" s="505">
        <f t="shared" si="30"/>
        <v>186.60336078730805</v>
      </c>
    </row>
    <row r="75" spans="1:2" ht="21">
      <c r="A75" s="550" t="s">
        <v>6997</v>
      </c>
      <c r="B75" s="505">
        <f t="shared" si="30"/>
        <v>188.12694850090355</v>
      </c>
    </row>
    <row r="76" spans="1:2" ht="21">
      <c r="A76" s="550" t="s">
        <v>6998</v>
      </c>
      <c r="B76" s="505">
        <f t="shared" si="30"/>
        <v>189.66297607362714</v>
      </c>
    </row>
    <row r="77" spans="1:2" ht="21">
      <c r="A77" s="550" t="s">
        <v>6999</v>
      </c>
      <c r="B77" s="505">
        <f t="shared" si="30"/>
        <v>191.21154507501348</v>
      </c>
    </row>
    <row r="78" spans="1:2" ht="21">
      <c r="A78" s="550" t="s">
        <v>7000</v>
      </c>
      <c r="B78" s="505">
        <f t="shared" si="30"/>
        <v>192.77275790389689</v>
      </c>
    </row>
    <row r="79" spans="1:2" ht="21">
      <c r="A79" s="550" t="s">
        <v>7001</v>
      </c>
      <c r="B79" s="505">
        <f t="shared" si="30"/>
        <v>194.34671779518237</v>
      </c>
    </row>
    <row r="80" spans="1:2" ht="21">
      <c r="A80" s="550" t="s">
        <v>7002</v>
      </c>
      <c r="B80" s="505">
        <f t="shared" si="30"/>
        <v>195.93352882667207</v>
      </c>
    </row>
    <row r="81" spans="1:8" ht="21">
      <c r="A81" s="550" t="s">
        <v>7003</v>
      </c>
      <c r="B81" s="505">
        <f t="shared" si="30"/>
        <v>197.53329592594736</v>
      </c>
    </row>
    <row r="82" spans="1:8" ht="21">
      <c r="A82" s="550" t="s">
        <v>7004</v>
      </c>
      <c r="B82" s="505">
        <f t="shared" si="30"/>
        <v>199.1461248773071</v>
      </c>
    </row>
    <row r="83" spans="1:8" ht="21">
      <c r="A83" s="550" t="s">
        <v>7005</v>
      </c>
      <c r="B83" s="505">
        <f t="shared" si="30"/>
        <v>200.77212232876275</v>
      </c>
    </row>
    <row r="84" spans="1:8" ht="21">
      <c r="A84" s="550" t="s">
        <v>7006</v>
      </c>
      <c r="B84" s="505">
        <f t="shared" si="30"/>
        <v>202.41139579909031</v>
      </c>
    </row>
    <row r="85" spans="1:8" ht="21">
      <c r="A85" s="550" t="s">
        <v>7007</v>
      </c>
      <c r="B85" s="505">
        <f t="shared" si="30"/>
        <v>204.06405368494006</v>
      </c>
    </row>
    <row r="86" spans="1:8" ht="21">
      <c r="A86" s="550" t="s">
        <v>7008</v>
      </c>
      <c r="B86" s="505">
        <f t="shared" si="30"/>
        <v>205.73020526800426</v>
      </c>
    </row>
    <row r="87" spans="1:8" ht="21">
      <c r="A87" s="550" t="s">
        <v>7009</v>
      </c>
      <c r="B87" s="505">
        <f t="shared" si="30"/>
        <v>207.40996072224328</v>
      </c>
    </row>
    <row r="88" spans="1:8" ht="21">
      <c r="A88" s="550" t="s">
        <v>7010</v>
      </c>
      <c r="B88" s="505">
        <f t="shared" si="30"/>
        <v>209.10343112117101</v>
      </c>
    </row>
    <row r="89" spans="1:8" ht="21">
      <c r="A89" s="550" t="s">
        <v>7011</v>
      </c>
      <c r="B89" s="505">
        <f t="shared" si="30"/>
        <v>210.81072844519943</v>
      </c>
    </row>
    <row r="90" spans="1:8" ht="21">
      <c r="A90" s="550" t="s">
        <v>7012</v>
      </c>
      <c r="B90" s="505">
        <f t="shared" si="30"/>
        <v>212.53196558904335</v>
      </c>
    </row>
    <row r="91" spans="1:8" ht="21">
      <c r="A91" s="550" t="s">
        <v>7013</v>
      </c>
      <c r="B91" s="505">
        <f t="shared" si="30"/>
        <v>214.26725636918559</v>
      </c>
    </row>
    <row r="92" spans="1:8" ht="21">
      <c r="A92" s="550" t="s">
        <v>7014</v>
      </c>
      <c r="B92" s="505">
        <f t="shared" si="30"/>
        <v>216.01671553140295</v>
      </c>
    </row>
    <row r="93" spans="1:8" ht="21">
      <c r="A93" s="550" t="s">
        <v>7015</v>
      </c>
      <c r="B93" s="505">
        <f t="shared" si="30"/>
        <v>217.78045875835392</v>
      </c>
      <c r="F93" t="s">
        <v>25</v>
      </c>
    </row>
    <row r="94" spans="1:8" ht="21">
      <c r="A94" s="550" t="s">
        <v>7016</v>
      </c>
      <c r="B94" s="505">
        <f t="shared" si="30"/>
        <v>219.55860267722801</v>
      </c>
    </row>
    <row r="95" spans="1:8" ht="21">
      <c r="A95" s="550" t="s">
        <v>7017</v>
      </c>
      <c r="B95" s="505">
        <f t="shared" si="30"/>
        <v>221.35126486745784</v>
      </c>
    </row>
    <row r="96" spans="1:8" ht="21">
      <c r="A96" s="551" t="s">
        <v>7018</v>
      </c>
      <c r="B96" s="505">
        <f t="shared" si="30"/>
        <v>223.15856386849396</v>
      </c>
      <c r="C96">
        <f>100*(B96-$B$34)/$B$34</f>
        <v>62.889462677732809</v>
      </c>
      <c r="E96" s="332" t="s">
        <v>4378</v>
      </c>
      <c r="F96" s="332">
        <v>1218</v>
      </c>
      <c r="G96" s="332">
        <v>1219</v>
      </c>
      <c r="H96" s="332">
        <v>1220</v>
      </c>
    </row>
    <row r="97" spans="1:8" ht="21">
      <c r="A97" s="553" t="s">
        <v>7019</v>
      </c>
      <c r="B97" s="505">
        <f t="shared" si="30"/>
        <v>224.9806191876433</v>
      </c>
      <c r="E97" s="332" t="s">
        <v>6884</v>
      </c>
      <c r="F97" s="332">
        <v>160</v>
      </c>
      <c r="G97" s="332">
        <v>170</v>
      </c>
      <c r="H97" s="332">
        <v>180</v>
      </c>
    </row>
    <row r="98" spans="1:8">
      <c r="A98" s="29"/>
      <c r="E98" s="332" t="s">
        <v>6949</v>
      </c>
      <c r="F98" s="332">
        <v>65</v>
      </c>
      <c r="G98" s="332">
        <v>58</v>
      </c>
      <c r="H98" s="332">
        <v>50</v>
      </c>
    </row>
    <row r="99" spans="1:8">
      <c r="A99" s="29"/>
      <c r="E99" s="332" t="s">
        <v>7021</v>
      </c>
      <c r="F99" s="347">
        <f>$B$34-F98</f>
        <v>72</v>
      </c>
      <c r="G99" s="347">
        <f t="shared" ref="G99" si="45">$B$34-G98</f>
        <v>79</v>
      </c>
      <c r="H99" s="347">
        <f t="shared" ref="H99" si="46">$B$34-H98</f>
        <v>87</v>
      </c>
    </row>
    <row r="100" spans="1:8">
      <c r="A100" s="29"/>
      <c r="E100" s="332" t="s">
        <v>7022</v>
      </c>
      <c r="F100" s="347">
        <f>IF(F97&gt;$B$96,$B$96,F97)</f>
        <v>160</v>
      </c>
      <c r="G100" s="347">
        <f t="shared" ref="G100:H100" si="47">IF(G97&gt;$B$96,$B$96,G97)</f>
        <v>170</v>
      </c>
      <c r="H100" s="347">
        <f t="shared" si="47"/>
        <v>180</v>
      </c>
    </row>
    <row r="101" spans="1:8">
      <c r="A101" s="29"/>
      <c r="E101" s="552" t="s">
        <v>840</v>
      </c>
      <c r="F101" s="519">
        <f t="shared" ref="F101" si="48">100*(F100-F99)/F99</f>
        <v>122.22222222222223</v>
      </c>
      <c r="G101" s="519">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6890</v>
      </c>
      <c r="B1" s="404" t="s">
        <v>6885</v>
      </c>
      <c r="C1" s="404" t="s">
        <v>6884</v>
      </c>
      <c r="D1" s="431" t="s">
        <v>6887</v>
      </c>
      <c r="E1" s="432" t="s">
        <v>840</v>
      </c>
      <c r="F1" s="404" t="s">
        <v>190</v>
      </c>
      <c r="G1" s="432" t="s">
        <v>1046</v>
      </c>
      <c r="H1" s="431" t="s">
        <v>6888</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6894</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6895</v>
      </c>
      <c r="D18" s="470" t="s">
        <v>6896</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6772</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6773</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6825</v>
      </c>
      <c r="G1" s="247" t="s">
        <v>6477</v>
      </c>
      <c r="H1" s="123" t="s">
        <v>6476</v>
      </c>
      <c r="I1" s="247" t="s">
        <v>6712</v>
      </c>
      <c r="J1" s="123" t="s">
        <v>6826</v>
      </c>
      <c r="K1" s="247" t="s">
        <v>6478</v>
      </c>
      <c r="L1" s="123" t="s">
        <v>6479</v>
      </c>
      <c r="M1" s="123" t="s">
        <v>6027</v>
      </c>
      <c r="N1" s="123" t="s">
        <v>6827</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D8" sqref="D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7048</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25</v>
      </c>
      <c r="F2" s="291">
        <f>B2*E2/$M$1</f>
        <v>30.699305555555554</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442.11320202777779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403.97663387194575</v>
      </c>
      <c r="I12" s="289"/>
      <c r="J12" s="289"/>
      <c r="K12" s="289" t="s">
        <v>4889</v>
      </c>
      <c r="L12" s="289">
        <f>L11/L10</f>
        <v>0.19764813939759729</v>
      </c>
    </row>
    <row r="13" spans="1:19">
      <c r="S13" t="s">
        <v>25</v>
      </c>
    </row>
    <row r="14" spans="1:19" ht="15.75">
      <c r="A14" s="240" t="s">
        <v>6644</v>
      </c>
      <c r="B14" s="240" t="s">
        <v>4711</v>
      </c>
      <c r="C14" s="282" t="s">
        <v>7048</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25</v>
      </c>
      <c r="F15" s="288">
        <f>B15*E15/$M$14</f>
        <v>55.126543209876544</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400</v>
      </c>
      <c r="F19" s="288">
        <f t="shared" si="4"/>
        <v>79.797897303703706</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200</v>
      </c>
      <c r="F20" s="288">
        <f t="shared" si="4"/>
        <v>61.160456311111112</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650</v>
      </c>
      <c r="F21" s="288">
        <f t="shared" si="4"/>
        <v>26.27084288271605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691.84245445012357</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626.85794519438582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7048</v>
      </c>
      <c r="D41" s="295" t="s">
        <v>6651</v>
      </c>
      <c r="E41" s="295" t="s">
        <v>7049</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6791</v>
      </c>
      <c r="B1" s="2">
        <v>10320481438</v>
      </c>
      <c r="C1" s="2"/>
      <c r="D1" s="2"/>
      <c r="E1" s="2"/>
      <c r="F1" s="2"/>
      <c r="G1" s="2"/>
      <c r="H1" s="2"/>
      <c r="I1" s="2"/>
      <c r="J1" s="2"/>
      <c r="K1" s="2"/>
    </row>
    <row r="2" spans="1:11">
      <c r="A2" s="2" t="s">
        <v>6792</v>
      </c>
      <c r="B2" s="2">
        <v>397032</v>
      </c>
      <c r="C2" s="2"/>
      <c r="D2" s="2"/>
      <c r="E2" s="2"/>
      <c r="F2" s="2"/>
      <c r="G2" s="2"/>
      <c r="H2" s="2"/>
      <c r="I2" s="2"/>
      <c r="J2" s="2"/>
      <c r="K2" s="2"/>
    </row>
    <row r="3" spans="1:11">
      <c r="A3" s="2" t="s">
        <v>6793</v>
      </c>
      <c r="B3" s="2" t="s">
        <v>6794</v>
      </c>
      <c r="C3" s="2" t="s">
        <v>6797</v>
      </c>
      <c r="D3" s="2"/>
      <c r="E3" s="2"/>
      <c r="F3" s="2"/>
      <c r="G3" s="2"/>
      <c r="H3" s="2"/>
      <c r="I3" s="2"/>
      <c r="J3" s="2"/>
      <c r="K3" s="2"/>
    </row>
    <row r="4" spans="1:11">
      <c r="A4" s="2" t="s">
        <v>6795</v>
      </c>
      <c r="B4" s="2" t="s">
        <v>6796</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6799</v>
      </c>
    </row>
    <row r="40" spans="1:11">
      <c r="A40" t="s">
        <v>4716</v>
      </c>
    </row>
    <row r="41" spans="1:11">
      <c r="A41" s="11" t="s">
        <v>6820</v>
      </c>
      <c r="B41" s="11" t="s">
        <v>6821</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6771</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6771</v>
      </c>
      <c r="I50" s="357">
        <v>304700</v>
      </c>
      <c r="J50" s="357" t="s">
        <v>6765</v>
      </c>
      <c r="O50" t="s">
        <v>25</v>
      </c>
    </row>
    <row r="51" spans="7:21">
      <c r="G51" s="170">
        <f t="shared" si="5"/>
        <v>0</v>
      </c>
      <c r="H51" s="170" t="s">
        <v>6853</v>
      </c>
      <c r="I51" s="170">
        <v>309000</v>
      </c>
      <c r="J51" s="170" t="s">
        <v>6857</v>
      </c>
      <c r="Q51" s="46"/>
      <c r="S51" s="46"/>
      <c r="U51" s="7"/>
    </row>
    <row r="52" spans="7:21">
      <c r="G52" s="170">
        <f t="shared" si="5"/>
        <v>7000</v>
      </c>
      <c r="H52" s="170" t="s">
        <v>6859</v>
      </c>
      <c r="I52" s="170">
        <v>302000</v>
      </c>
      <c r="J52" s="170" t="s">
        <v>6858</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6856</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6764</v>
      </c>
      <c r="I78" s="357">
        <v>66000</v>
      </c>
      <c r="J78" s="357" t="s">
        <v>6765</v>
      </c>
      <c r="Q78" s="398"/>
    </row>
    <row r="79" spans="7:17">
      <c r="G79" s="170"/>
      <c r="H79" s="170" t="s">
        <v>6860</v>
      </c>
      <c r="I79" s="170"/>
      <c r="J79" s="170" t="s">
        <v>6857</v>
      </c>
    </row>
    <row r="80" spans="7:17">
      <c r="G80" s="170"/>
      <c r="H80" s="170" t="s">
        <v>6861</v>
      </c>
      <c r="I80" s="170"/>
      <c r="J80" s="170" t="s">
        <v>6858</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5" t="s">
        <v>1007</v>
      </c>
      <c r="R21" s="605"/>
      <c r="S21" s="605"/>
      <c r="T21" s="605"/>
      <c r="W21" s="36" t="s">
        <v>4822</v>
      </c>
      <c r="X21" s="36">
        <v>9035210431</v>
      </c>
      <c r="Y21" s="36">
        <v>50</v>
      </c>
      <c r="Z21" s="36" t="s">
        <v>5082</v>
      </c>
      <c r="AA21" t="s">
        <v>4840</v>
      </c>
    </row>
    <row r="22" spans="5:30">
      <c r="O22" s="11"/>
      <c r="P22" s="11"/>
      <c r="Q22" s="605"/>
      <c r="R22" s="605"/>
      <c r="S22" s="605"/>
      <c r="T22" s="605"/>
      <c r="W22" s="36" t="s">
        <v>4908</v>
      </c>
      <c r="X22" s="36">
        <v>9909620343</v>
      </c>
      <c r="Y22" s="36">
        <v>200</v>
      </c>
      <c r="Z22" s="36" t="s">
        <v>5083</v>
      </c>
      <c r="AA22" t="s">
        <v>5086</v>
      </c>
      <c r="AB22" s="36" t="s">
        <v>5094</v>
      </c>
    </row>
    <row r="23" spans="5:30" ht="15.75">
      <c r="O23" s="123"/>
      <c r="P23" s="11" t="s">
        <v>3997</v>
      </c>
      <c r="Q23" s="606" t="s">
        <v>1008</v>
      </c>
      <c r="R23" s="607" t="s">
        <v>1009</v>
      </c>
      <c r="S23" s="606" t="s">
        <v>1010</v>
      </c>
      <c r="T23" s="608" t="s">
        <v>1011</v>
      </c>
      <c r="W23" s="36" t="s">
        <v>4909</v>
      </c>
      <c r="X23" s="36">
        <v>9378807702</v>
      </c>
      <c r="Y23" s="36">
        <v>0</v>
      </c>
      <c r="Z23" s="36">
        <v>0</v>
      </c>
      <c r="AD23" t="s">
        <v>25</v>
      </c>
    </row>
    <row r="24" spans="5:30">
      <c r="O24" s="11"/>
      <c r="P24" s="11"/>
      <c r="Q24" s="606"/>
      <c r="R24" s="607"/>
      <c r="S24" s="606"/>
      <c r="T24" s="608"/>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6767</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6768</v>
      </c>
      <c r="Z31" s="36" t="s">
        <v>5082</v>
      </c>
      <c r="AA31" t="s">
        <v>6003</v>
      </c>
      <c r="AB31" s="36" t="s">
        <v>6766</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9" t="s">
        <v>6071</v>
      </c>
      <c r="C1" s="609"/>
      <c r="D1" s="609" t="s">
        <v>6072</v>
      </c>
      <c r="E1" s="609"/>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ساله'!D21</f>
        <v>2105</v>
      </c>
      <c r="H4" s="37">
        <f>C4*G4</f>
        <v>620975000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2105</v>
      </c>
      <c r="H19" s="37">
        <f>C19*G19</f>
        <v>27230280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2023-07-02T14:54:41Z</dcterms:modified>
</cp:coreProperties>
</file>