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M6" i="60" l="1"/>
  <c r="W496" i="18" l="1"/>
  <c r="W495" i="18"/>
  <c r="F16" i="60"/>
  <c r="V154" i="18" l="1"/>
  <c r="W154" i="18" s="1"/>
  <c r="X154" i="18"/>
  <c r="S154" i="18"/>
  <c r="I34" i="63" l="1"/>
  <c r="J34" i="63" s="1"/>
  <c r="I29" i="63" l="1"/>
  <c r="I32" i="63"/>
  <c r="H29" i="63"/>
  <c r="G29" i="63"/>
  <c r="O36" i="18"/>
  <c r="J29" i="63" l="1"/>
  <c r="K29" i="63"/>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3" i="63" s="1"/>
  <c r="J32" i="63"/>
  <c r="I33" i="63"/>
  <c r="J33" i="63" s="1"/>
  <c r="K33" i="63" s="1"/>
  <c r="W494" i="18"/>
  <c r="R196" i="18"/>
  <c r="N46" i="18"/>
  <c r="R141" i="60" l="1"/>
  <c r="R140" i="60" s="1"/>
  <c r="R139" i="60" s="1"/>
  <c r="R135" i="60" s="1"/>
  <c r="R134" i="60" l="1"/>
  <c r="R133" i="60" s="1"/>
  <c r="S135" i="60"/>
  <c r="S134" i="60"/>
  <c r="E130" i="60"/>
  <c r="E131" i="60"/>
  <c r="E132" i="60"/>
  <c r="E133" i="60"/>
  <c r="E134" i="60"/>
  <c r="E135" i="60"/>
  <c r="G130" i="60"/>
  <c r="G131" i="60"/>
  <c r="G132" i="60"/>
  <c r="G133" i="60"/>
  <c r="G134" i="60"/>
  <c r="G135" i="60"/>
  <c r="C132" i="60"/>
  <c r="C133" i="60"/>
  <c r="C134" i="60"/>
  <c r="C135" i="60"/>
  <c r="C136" i="60"/>
  <c r="C137" i="60"/>
  <c r="C138" i="60"/>
  <c r="C139" i="60"/>
  <c r="B140" i="60" s="1"/>
  <c r="G140" i="60" s="1"/>
  <c r="C131" i="60"/>
  <c r="G137" i="60"/>
  <c r="G138" i="60"/>
  <c r="G139" i="60"/>
  <c r="G136"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6" i="60"/>
  <c r="E138" i="60"/>
  <c r="E139" i="60"/>
  <c r="E140" i="60"/>
  <c r="E137" i="60"/>
  <c r="C140"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19" i="60"/>
  <c r="D119" i="60"/>
  <c r="D125" i="60" s="1"/>
  <c r="R116" i="60" l="1"/>
  <c r="S117" i="60"/>
  <c r="I120" i="60"/>
  <c r="R115" i="60" l="1"/>
  <c r="S116" i="60"/>
  <c r="F120" i="60"/>
  <c r="I121" i="60" s="1"/>
  <c r="F121" i="60" s="1"/>
  <c r="I122" i="60" s="1"/>
  <c r="W481" i="18"/>
  <c r="R114" i="60" l="1"/>
  <c r="S115" i="60"/>
  <c r="F122" i="60"/>
  <c r="F125"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0" i="60"/>
  <c r="B37"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30" i="60"/>
  <c r="G30"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49" i="60" l="1"/>
  <c r="F49" i="60" s="1"/>
  <c r="D48" i="60"/>
  <c r="F48"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3" i="60"/>
  <c r="G33" i="60" s="1"/>
  <c r="F34" i="60"/>
  <c r="G34" i="60" s="1"/>
  <c r="F35" i="60"/>
  <c r="G35" i="60" s="1"/>
  <c r="F36" i="60"/>
  <c r="G36" i="60" s="1"/>
  <c r="F31" i="60"/>
  <c r="G31" i="60" s="1"/>
  <c r="F32" i="60"/>
  <c r="G32"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9" i="60"/>
  <c r="J9" i="60"/>
  <c r="F11" i="60"/>
  <c r="J18" i="60"/>
  <c r="J8" i="60"/>
  <c r="F18" i="60"/>
  <c r="F8" i="60"/>
  <c r="J13" i="60"/>
  <c r="F19" i="60"/>
  <c r="F13" i="60"/>
  <c r="J20" i="60"/>
  <c r="J14" i="60"/>
  <c r="J10" i="60"/>
  <c r="F20" i="60"/>
  <c r="F14" i="60"/>
  <c r="F10" i="60"/>
  <c r="J6" i="60"/>
  <c r="J17" i="60"/>
  <c r="J11" i="60"/>
  <c r="W244" i="18"/>
  <c r="L22" i="60" l="1"/>
  <c r="D22" i="60"/>
  <c r="H22" i="60"/>
  <c r="F22"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5"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<sst xmlns="http://schemas.openxmlformats.org/spreadsheetml/2006/main" count="15656" uniqueCount="6549">
  <si>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</si>
  <si>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</si>
  <si>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</si>
  <si>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</si>
  <si>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</si>
  <si>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</si>
  <si>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</si>
  <si>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</si>
  <si>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</si>
  <si>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</si>
  <si>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</si>
  <si>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</si>
  <si>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</si>
  <si>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</si>
  <si>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</si>
  <si>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</si>
  <si>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</si>
  <si>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</si>
  <si>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</si>
  <si>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</si>
  <si>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</si>
  <si>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</si>
  <si>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</si>
  <si>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</si>
  <si>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</si>
  <si>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</si>
  <si>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</si>
  <si>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</si>
  <si>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</si>
  <si>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</si>
  <si>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</si>
  <si>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</si>
  <si>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</si>
  <si>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</si>
  <si>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</si>
  <si>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</si>
  <si>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</si>
  <si>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</si>
  <si>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</si>
  <si>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</si>
  <si>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</si>
  <si>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</si>
  <si>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</si>
  <si>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</si>
  <si>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</si>
  <si>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</si>
  <si>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</si>
  <si>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</si>
  <si>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</si>
  <si>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</si>
  <si>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</si>
  <si>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</si>
  <si>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</si>
  <si>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</si>
  <si>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</si>
  <si>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</si>
  <si>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</si>
  <si>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</si>
  <si>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</si>
  <si>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</si>
  <si>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</si>
  <si>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</si>
  <si>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</si>
  <si>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</si>
  <si>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</si>
  <si>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</si>
  <si>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</si>
  <si>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</si>
  <si>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</si>
  <si>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</si>
  <si>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</si>
  <si>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</si>
  <si>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</si>
  <si>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</si>
  <si>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</si>
  <si>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</si>
  <si>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</si>
  <si>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</si>
  <si>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</si>
  <si>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</si>
  <si>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</si>
  <si>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</si>
  <si>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</si>
  <si>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</si>
  <si>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</si>
  <si>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</si>
  <si>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</si>
  <si>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</si>
  <si>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</si>
  <si>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</si>
  <si>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</si>
  <si>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</si>
  <si>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</si>
  <si>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</si>
  <si>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</si>
  <si>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</si>
  <si>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</si>
  <si>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</si>
  <si>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</si>
  <si>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</si>
  <si>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</si>
  <si>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</si>
  <si>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</si>
  <si>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</si>
  <si>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</si>
  <si>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</si>
  <si>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</si>
  <si>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</si>
  <si>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</si>
  <si>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</si>
  <si>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</si>
  <si>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</si>
  <si>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</si>
  <si>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</si>
  <si>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</si>
  <si>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</si>
  <si>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</si>
  <si>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</si>
  <si>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</si>
  <si>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</si>
  <si>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</si>
  <si>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</si>
  <si>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</si>
  <si>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</si>
  <si>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</si>
  <si>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</si>
  <si>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</si>
  <si>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</si>
  <si>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</si>
  <si>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</si>
  <si>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</si>
  <si>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</si>
  <si>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</si>
  <si>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</si>
  <si>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</si>
  <si>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</si>
  <si>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</si>
  <si>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</si>
  <si>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</si>
  <si>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</si>
  <si>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</si>
  <si>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</si>
  <si>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</si>
  <si>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</si>
  <si>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</si>
  <si>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</si>
  <si>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</si>
  <si>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</si>
  <si>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</si>
  <si>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</si>
  <si>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</si>
  <si>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</si>
  <si>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</si>
  <si>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</si>
  <si>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</si>
  <si>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</si>
  <si>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</si>
  <si>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</si>
  <si>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</si>
  <si>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</si>
  <si>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</si>
  <si>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</si>
  <si>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</si>
  <si>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</si>
  <si>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</si>
  <si>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</si>
  <si>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</si>
  <si>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</si>
  <si>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</si>
  <si>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</si>
  <si>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</si>
  <si>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</si>
  <si>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</si>
  <si>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</si>
  <si>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</si>
  <si>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</si>
  <si>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</si>
  <si>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</si>
  <si>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</si>
  <si>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</si>
  <si>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</si>
  <si>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</si>
  <si>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</si>
  <si>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</si>
  <si>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</si>
  <si>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</si>
  <si>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</si>
  <si>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</si>
  <si>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</si>
  <si>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</si>
  <si>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</si>
  <si>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</si>
  <si>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</si>
  <si>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</si>
  <si>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</si>
  <si>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</si>
  <si>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</si>
  <si>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</si>
  <si>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</si>
  <si>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</si>
  <si>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</si>
  <si>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</si>
  <si>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</si>
  <si>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</si>
  <si>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</si>
  <si>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</si>
  <si>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</si>
  <si>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</si>
  <si>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</si>
  <si>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</si>
  <si>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</si>
  <si>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</si>
  <si>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</si>
  <si>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</si>
  <si>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</si>
  <si>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</si>
  <si>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</si>
  <si>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</si>
  <si>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</si>
  <si>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</si>
  <si>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</si>
  <si>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</si>
  <si>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</si>
  <si>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</si>
  <si>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</si>
  <si>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</si>
  <si>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</si>
  <si>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</si>
  <si>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</si>
  <si>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</si>
  <si>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</si>
  <si>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</si>
  <si>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</si>
  <si>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</si>
  <si>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</si>
  <si>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</si>
  <si>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</si>
  <si>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</si>
  <si>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</si>
  <si>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</si>
  <si>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</si>
  <si>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</si>
  <si>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</si>
  <si>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</si>
  <si>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</si>
  <si>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</si>
  <si>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</si>
  <si>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</si>
  <si>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</si>
  <si>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</si>
  <si>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</si>
  <si>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</si>
  <si>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</si>
  <si>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</si>
  <si>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</si>
  <si>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</si>
  <si>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</si>
  <si>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</si>
  <si>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</si>
  <si>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</si>
  <si>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</si>
  <si>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</si>
  <si>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</si>
  <si>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</si>
  <si>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</si>
  <si>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</si>
  <si>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</si>
  <si>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</si>
  <si>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</si>
  <si>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</si>
  <si>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</si>
  <si>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</si>
  <si>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</si>
  <si>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</si>
  <si>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</si>
  <si>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</si>
  <si>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</si>
  <si>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</si>
  <si>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</si>
  <si>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</si>
  <si>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</si>
  <si>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</si>
  <si>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</si>
  <si>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</si>
  <si>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</si>
  <si>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</si>
  <si>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</si>
  <si>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</si>
  <si>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</si>
  <si>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</si>
  <si>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</si>
  <si>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</si>
  <si>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</si>
  <si>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</si>
  <si>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</si>
  <si>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</si>
  <si>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</si>
  <si>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</si>
  <si>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</si>
  <si>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</si>
  <si>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</si>
  <si>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</si>
  <si>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</si>
  <si>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</si>
  <si>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</si>
  <si>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</si>
  <si>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</si>
  <si>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</si>
  <si>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</si>
  <si>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</si>
  <si>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</si>
  <si>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</si>
  <si>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</si>
  <si>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</si>
  <si>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</si>
  <si>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</si>
  <si>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</si>
  <si>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</si>
  <si>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</si>
  <si>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</si>
  <si>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</si>
  <si>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</si>
  <si>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</si>
  <si>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</si>
  <si>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</si>
  <si>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</si>
  <si>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</si>
  <si>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</si>
  <si>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</si>
  <si>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</si>
  <si>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</si>
  <si>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</si>
  <si>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</si>
  <si>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</si>
  <si>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</si>
  <si>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</si>
  <si>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</si>
  <si>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</si>
  <si>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</si>
  <si>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</si>
  <si>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</si>
  <si>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</si>
  <si>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</si>
  <si>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</si>
  <si>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</si>
  <si>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</si>
  <si>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</si>
  <si>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</si>
  <si>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</si>
  <si>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</si>
  <si>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</si>
  <si>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</si>
  <si>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</si>
  <si>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</si>
  <si>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</si>
  <si>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</si>
  <si>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</si>
  <si>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</si>
  <si>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</si>
  <si>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</si>
  <si>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</si>
  <si>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</si>
  <si>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</si>
  <si>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</si>
  <si>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</si>
  <si>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</si>
  <si>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</si>
  <si>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</si>
  <si>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</si>
  <si>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</si>
  <si>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</si>
  <si>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</si>
  <si>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</si>
  <si>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</si>
  <si>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</si>
  <si>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</si>
  <si>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</si>
  <si>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</si>
  <si>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</si>
  <si>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</si>
  <si>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</si>
  <si>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</si>
  <si>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</si>
  <si>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</si>
  <si>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</si>
  <si>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</si>
  <si>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</si>
  <si>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</si>
  <si>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</si>
  <si>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</si>
  <si>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</si>
  <si>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</si>
  <si>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</si>
  <si>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</si>
  <si>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</si>
  <si>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</si>
  <si>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</si>
  <si>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</si>
  <si>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</si>
  <si>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</si>
  <si>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</si>
  <si>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</si>
  <si>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</si>
  <si>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</si>
  <si>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</si>
  <si>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</si>
  <si>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</si>
  <si>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</si>
  <si>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</si>
  <si>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</si>
  <si>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</si>
  <si>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</si>
  <si>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</si>
  <si>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</si>
  <si>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</si>
  <si>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</si>
  <si>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</si>
  <si>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</si>
  <si>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</si>
  <si>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</si>
  <si>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</si>
  <si>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</si>
  <si>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</si>
  <si>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</si>
  <si>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</si>
  <si>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</si>
  <si>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</si>
  <si>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</si>
  <si>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</si>
  <si>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</si>
  <si>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</si>
  <si>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</si>
  <si>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</si>
  <si>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</si>
  <si>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</si>
  <si>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</si>
  <si>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</si>
  <si>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</si>
  <si>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</si>
  <si>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</si>
  <si>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</si>
  <si>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</si>
  <si>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</si>
  <si>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</si>
  <si>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</si>
  <si>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</si>
  <si>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</si>
  <si>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</si>
  <si>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</si>
  <si>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</si>
  <si>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</si>
  <si>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</si>
  <si>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</si>
  <si>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</si>
  <si>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</si>
  <si>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</si>
  <si>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</si>
  <si>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</si>
  <si>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</si>
  <si>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</si>
  <si>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</si>
  <si>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</si>
  <si>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</si>
  <si>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</si>
  <si>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</si>
  <si>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</si>
  <si>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</si>
  <si>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</si>
  <si>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</si>
  <si>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</si>
  <si>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</si>
  <si>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</si>
  <si>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</si>
  <si>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</si>
  <si>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</si>
  <si>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</si>
  <si>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</si>
  <si>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</si>
  <si>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</si>
  <si>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</si>
  <si>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</si>
  <si>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</si>
  <si>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</si>
  <si>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</si>
  <si>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</si>
  <si>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</si>
  <si>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</si>
  <si>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</si>
  <si>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</si>
  <si>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</si>
  <si>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</si>
  <si>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</si>
  <si>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</si>
  <si>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</si>
  <si>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</si>
  <si>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</si>
  <si>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</si>
  <si>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</si>
  <si>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</si>
  <si>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</si>
  <si>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</si>
  <si>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</si>
  <si>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</si>
  <si>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</si>
  <si>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</si>
  <si>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</si>
  <si>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</si>
  <si>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</si>
  <si>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</si>
  <si>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</si>
  <si>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</si>
  <si>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</si>
  <si>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</si>
  <si>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</si>
  <si>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</si>
  <si>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</si>
  <si>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</si>
  <si>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</si>
  <si>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</si>
  <si>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</si>
  <si>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</si>
  <si>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</si>
  <si>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</si>
  <si>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</si>
  <si>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</si>
  <si>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</si>
  <si>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</si>
  <si>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</si>
  <si>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</si>
  <si>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</si>
  <si>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</si>
  <si>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</si>
  <si>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</si>
  <si>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</si>
  <si>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</si>
  <si>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</si>
  <si>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</si>
  <si>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</si>
  <si>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</si>
  <si>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</si>
  <si>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</si>
  <si>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</si>
  <si>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</si>
  <si>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</si>
  <si>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</si>
  <si>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</si>
  <si>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</si>
  <si>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</si>
  <si>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</si>
  <si>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</si>
  <si>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</si>
  <si>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</si>
  <si>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</si>
  <si>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</si>
  <si>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</si>
  <si>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</si>
  <si>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</si>
  <si>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</si>
  <si>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</si>
  <si>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</si>
  <si>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</si>
  <si>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</si>
  <si>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</si>
  <si>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</si>
  <si>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</si>
  <si>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</si>
  <si>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</si>
  <si>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</si>
  <si>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</si>
  <si>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</si>
  <si>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</si>
  <si>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</si>
  <si>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</si>
  <si>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</si>
  <si>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</si>
  <si>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</si>
  <si>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</si>
  <si>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</si>
  <si>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</si>
  <si>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</si>
  <si>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</si>
  <si>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</si>
  <si>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</si>
  <si>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</si>
  <si>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</si>
  <si>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</si>
  <si>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</si>
  <si>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</si>
  <si>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</si>
  <si>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</si>
  <si>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</si>
  <si>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</si>
  <si>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</si>
  <si>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</si>
  <si>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</si>
  <si>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</si>
  <si>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</si>
  <si>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</si>
  <si>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</si>
  <si>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</si>
  <si>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</si>
  <si>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</si>
  <si>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</si>
  <si>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</si>
  <si>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</si>
  <si>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</si>
  <si>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</si>
  <si>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</si>
  <si>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</si>
  <si>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</si>
  <si>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</si>
  <si>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</si>
  <si>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</si>
  <si>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</si>
  <si>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</si>
  <si>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</si>
  <si>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</si>
  <si>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</si>
  <si>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</si>
  <si>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</si>
  <si>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</si>
  <si>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</si>
  <si>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</si>
  <si>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</si>
  <si>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</si>
  <si>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</si>
  <si>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</si>
  <si>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</si>
  <si>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</si>
  <si>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</si>
  <si>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</si>
  <si>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</si>
  <si>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</si>
  <si>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</si>
  <si>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</si>
  <si>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</si>
  <si>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</si>
  <si>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</si>
  <si>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</si>
  <si>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</si>
  <si>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</si>
  <si>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</si>
  <si>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</si>
  <si>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</si>
  <si>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</si>
  <si>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</si>
  <si>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</si>
  <si>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</si>
  <si>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</si>
  <si>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</si>
  <si>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</si>
  <si>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</si>
  <si>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</si>
  <si>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</si>
  <si>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</si>
  <si>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</si>
  <si>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</si>
  <si>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</si>
  <si>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</si>
  <si>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</si>
  <si>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</si>
  <si>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</si>
  <si>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</si>
  <si>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</si>
  <si>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</si>
  <si>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</si>
  <si>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</si>
  <si>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</si>
  <si>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</si>
  <si>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</si>
  <si>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</si>
  <si>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</si>
  <si>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</si>
  <si>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</si>
  <si>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</si>
  <si>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</si>
  <si>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</si>
  <si>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</si>
  <si>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</si>
  <si>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</si>
  <si>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</si>
  <si>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</si>
  <si>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</si>
  <si>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</si>
  <si>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</si>
  <si>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</si>
  <si>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</si>
  <si>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</si>
  <si>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</si>
  <si>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</si>
  <si>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</si>
  <si>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</si>
  <si>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</si>
  <si>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</si>
  <si>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</si>
  <si>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</si>
  <si>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</si>
  <si>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</si>
  <si>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</si>
  <si>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</si>
  <si>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</si>
  <si>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</si>
  <si>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</si>
  <si>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</si>
  <si>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</si>
  <si>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</si>
  <si>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</si>
  <si>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</si>
  <si>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</si>
  <si>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</si>
  <si>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</si>
  <si>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</si>
  <si>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</si>
  <si>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</si>
  <si>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</si>
  <si>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</si>
  <si>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</si>
  <si>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</si>
  <si>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</si>
  <si>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</si>
  <si>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</si>
  <si>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</si>
  <si>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</si>
  <si>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</si>
  <si>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</si>
  <si>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</si>
  <si>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</si>
  <si>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</si>
  <si>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</si>
  <si>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</si>
  <si>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</si>
  <si>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</si>
  <si>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</si>
  <si>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</si>
  <si>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</si>
  <si>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</si>
  <si>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</si>
  <si>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</si>
  <si>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</si>
  <si>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</si>
  <si>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</si>
  <si>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</si>
  <si>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</si>
  <si>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</si>
  <si>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</si>
  <si>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</si>
  <si>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</si>
  <si>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</si>
  <si>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</si>
  <si>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</si>
  <si>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</si>
  <si>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</si>
  <si>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</si>
  <si>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</si>
  <si>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</si>
  <si>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</si>
  <si>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</si>
  <si>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</si>
  <si>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</si>
  <si>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</si>
  <si>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</si>
  <si>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</si>
  <si>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</si>
  <si>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</si>
  <si>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</si>
  <si>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</si>
  <si>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</si>
  <si>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</si>
  <si>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</si>
  <si>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</si>
  <si>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</si>
  <si>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</si>
  <si>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</si>
  <si>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</si>
  <si>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</si>
  <si>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</si>
  <si>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</si>
  <si>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</si>
  <si>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</si>
  <si>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</si>
  <si>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</si>
  <si>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</si>
  <si>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</si>
  <si>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</si>
  <si>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</si>
  <si>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</si>
  <si>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</si>
  <si>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</si>
  <si>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</si>
  <si>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</si>
  <si>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</si>
  <si>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</si>
  <si>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</si>
  <si>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</si>
  <si>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</si>
  <si>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</si>
  <si>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</si>
  <si>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</si>
  <si>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</si>
  <si>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</si>
  <si>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</si>
  <si>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</si>
  <si>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</si>
  <si>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</si>
  <si>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</si>
  <si>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</si>
  <si>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</si>
  <si>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</si>
  <si>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</si>
  <si>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</si>
  <si>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</si>
  <si>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</si>
  <si>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</si>
  <si>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</si>
  <si>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</si>
  <si>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</si>
  <si>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</si>
  <si>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</si>
  <si>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</si>
  <si>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</si>
  <si>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</si>
  <si>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</si>
  <si>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</si>
  <si>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</si>
  <si>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</si>
  <si>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</si>
  <si>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</si>
  <si>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</si>
  <si>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</si>
  <si>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</si>
  <si>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</si>
  <si>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</si>
  <si>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</si>
  <si>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</si>
  <si>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</si>
  <si>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</si>
  <si>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</si>
  <si>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</si>
  <si>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</si>
  <si>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</si>
  <si>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</si>
  <si>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</si>
  <si>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</si>
  <si>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</si>
  <si>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</si>
  <si>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</si>
  <si>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</si>
  <si>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</si>
  <si>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</si>
  <si>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</si>
  <si>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</si>
  <si>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</si>
  <si>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</si>
  <si>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</si>
  <si>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</si>
  <si>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</si>
  <si>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</si>
  <si>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</si>
  <si>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</si>
  <si>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</si>
  <si>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</si>
  <si>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</si>
  <si>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</si>
  <si>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</si>
  <si>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</si>
  <si>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</si>
  <si>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</si>
  <si>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</si>
  <si>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</si>
  <si>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</si>
  <si>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</si>
  <si>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</si>
  <si>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</si>
  <si>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</si>
  <si>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</si>
  <si>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</si>
  <si>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</si>
  <si>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</si>
  <si>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</si>
  <si>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</si>
  <si>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</si>
  <si>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</si>
  <si>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</si>
  <si>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</si>
  <si>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</si>
  <si>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</si>
  <si>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</si>
  <si>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</si>
  <si>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</si>
  <si>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</si>
  <si>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</si>
  <si>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</si>
  <si>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</si>
  <si>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</si>
  <si>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</si>
  <si>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</si>
  <si>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</si>
  <si>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</si>
  <si>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</si>
  <si>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</si>
  <si>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</si>
  <si>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</si>
  <si>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</si>
  <si>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</si>
  <si>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</si>
  <si>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</si>
  <si>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</si>
  <si>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</si>
  <si>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</si>
  <si>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</si>
  <si>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</si>
  <si>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</si>
  <si>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</si>
  <si>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</si>
  <si>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</si>
  <si>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</si>
  <si>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</si>
  <si>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</si>
  <si>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</si>
  <si>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</si>
  <si>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</si>
  <si>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</si>
  <si>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</si>
  <si>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</si>
  <si>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</si>
  <si>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</si>
  <si>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</si>
  <si>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</si>
  <si>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</si>
  <si>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</si>
  <si>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</si>
  <si>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</si>
  <si>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</si>
  <si>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</si>
  <si>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</si>
  <si>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</si>
  <si>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</si>
  <si>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</si>
  <si>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</si>
  <si>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</si>
  <si>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</si>
  <si>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</si>
  <si>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</si>
  <si>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</si>
  <si>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</si>
  <si>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</si>
  <si>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</si>
  <si>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</si>
  <si>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</si>
  <si>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</si>
  <si>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</si>
  <si>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</si>
  <si>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</si>
  <si>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</si>
  <si>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</si>
  <si>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</si>
  <si>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</si>
  <si>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</si>
  <si>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</si>
  <si>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</si>
  <si>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</si>
  <si>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</si>
  <si>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</si>
  <si>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</si>
  <si>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</si>
  <si>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</si>
  <si>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</si>
  <si>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</si>
  <si>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</si>
  <si>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</si>
  <si>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</si>
  <si>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</si>
  <si>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</si>
  <si>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</si>
  <si>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</si>
  <si>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</si>
  <si>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</si>
  <si>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</si>
  <si>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</si>
  <si>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</si>
  <si>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</si>
  <si>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</si>
  <si>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</si>
  <si>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</si>
  <si>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</si>
  <si>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</si>
  <si>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</si>
  <si>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</si>
  <si>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</si>
  <si>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</si>
  <si>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</si>
  <si>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</si>
  <si>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</si>
  <si>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</si>
  <si>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</si>
  <si>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</si>
  <si>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</si>
  <si>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</si>
  <si>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</si>
  <si>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</si>
  <si>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</si>
  <si>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</si>
  <si>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</si>
  <si>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</si>
  <si>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</si>
  <si>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</si>
  <si>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</si>
  <si>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</si>
  <si>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</si>
  <si>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</si>
  <si>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</si>
  <si>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</si>
  <si>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</si>
  <si>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</si>
  <si>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</si>
  <si>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</si>
  <si>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</si>
  <si>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</si>
  <si>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</si>
  <si>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</si>
  <si>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</si>
  <si>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</si>
  <si>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</si>
  <si>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</si>
  <si>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</si>
  <si>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</si>
  <si>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</si>
  <si>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</si>
  <si>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</si>
  <si>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</si>
  <si>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</si>
  <si>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</si>
  <si>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</si>
  <si>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</si>
  <si>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</si>
  <si>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</si>
  <si>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</si>
  <si>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</si>
  <si>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</si>
  <si>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</si>
  <si>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</si>
  <si>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</si>
  <si>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</si>
  <si>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</si>
  <si>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</si>
  <si>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</si>
  <si>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</si>
  <si>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</si>
  <si>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</si>
  <si>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</si>
  <si>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</si>
  <si>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</si>
  <si>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</si>
  <si>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</si>
  <si>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</si>
  <si>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</si>
  <si>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</si>
  <si>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</si>
  <si>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</si>
  <si>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</si>
  <si>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</si>
  <si>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</si>
  <si>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</si>
  <si>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</si>
  <si>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</si>
  <si>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</si>
  <si>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</si>
  <si>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</si>
  <si>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</si>
  <si>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</si>
  <si>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</si>
  <si>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</si>
  <si>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</si>
  <si>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</si>
  <si>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</si>
  <si>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</si>
  <si>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</si>
  <si>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</si>
  <si>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</si>
  <si>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</si>
  <si>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</si>
  <si>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</si>
  <si>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</si>
  <si>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</si>
  <si>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</si>
  <si>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</si>
  <si>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</si>
  <si>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</si>
  <si>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</si>
  <si>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</si>
  <si>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</si>
  <si>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</si>
  <si>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</si>
  <si>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</si>
  <si>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</si>
  <si>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</si>
  <si>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</si>
  <si>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</si>
  <si>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</si>
  <si>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</si>
  <si>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</si>
  <si>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</si>
  <si>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</si>
  <si>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</si>
  <si>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</si>
  <si>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</si>
  <si>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</si>
  <si>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</si>
  <si>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</si>
  <si>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</si>
  <si>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</si>
  <si>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</si>
  <si>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</si>
  <si>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</si>
  <si>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</si>
  <si>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</si>
  <si>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</si>
  <si>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</si>
  <si>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</si>
  <si>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</si>
  <si>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</si>
  <si>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</si>
  <si>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</si>
  <si>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</si>
  <si>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</si>
  <si>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</si>
  <si>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</si>
  <si>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</si>
  <si>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</si>
  <si>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</si>
  <si>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</si>
  <si>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</si>
  <si>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</si>
  <si>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</si>
  <si>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</si>
  <si>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</si>
  <si>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</si>
  <si>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</si>
  <si>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</si>
  <si>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</si>
  <si>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</si>
  <si>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</si>
  <si>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</si>
  <si>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</si>
  <si>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</si>
  <si>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</si>
  <si>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</si>
  <si>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</si>
  <si>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</si>
  <si>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</si>
  <si>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</si>
  <si>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</si>
  <si>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</si>
  <si>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</si>
  <si>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</si>
  <si>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</si>
  <si>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</si>
  <si>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</si>
  <si>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</si>
  <si>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</si>
  <si>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</si>
  <si>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</si>
  <si>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</si>
  <si>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</si>
  <si>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</si>
  <si>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</si>
  <si>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</si>
  <si>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</si>
  <si>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</si>
  <si>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</si>
  <si>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</si>
  <si>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</si>
  <si>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</si>
  <si>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</si>
  <si>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</si>
  <si>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</si>
  <si>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</si>
  <si>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</si>
  <si>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</si>
  <si>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</si>
  <si>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</si>
  <si>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</si>
  <si>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</si>
  <si>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</si>
  <si>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</si>
  <si>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</si>
  <si>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</si>
  <si>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</si>
  <si>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</si>
  <si>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</si>
  <si>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</si>
  <si>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</si>
  <si>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</si>
  <si>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</si>
  <si>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</si>
  <si>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</si>
  <si>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</si>
  <si>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</si>
  <si>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</si>
  <si>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</si>
  <si>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</si>
  <si>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</si>
  <si>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</si>
  <si>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</si>
  <si>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</si>
  <si>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</si>
  <si>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</si>
  <si>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</si>
  <si>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</si>
  <si>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</si>
  <si>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</si>
  <si>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</si>
  <si>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</si>
  <si>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</si>
  <si>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</si>
  <si>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</si>
  <si>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</si>
  <si>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</si>
  <si>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</si>
  <si>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</si>
  <si>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</si>
  <si>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</si>
  <si>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</si>
  <si>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</si>
  <si>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</si>
  <si>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</si>
  <si>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</si>
  <si>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</si>
  <si>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</si>
  <si>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</si>
  <si>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</si>
  <si>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</si>
  <si>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</si>
  <si>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</si>
  <si>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</si>
  <si>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</si>
  <si>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</si>
  <si>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</si>
  <si>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</si>
  <si>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</si>
  <si>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</si>
  <si>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</si>
  <si>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</si>
  <si>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</si>
  <si>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</si>
  <si>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</si>
  <si>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</si>
  <si>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</si>
  <si>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</si>
  <si>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</si>
  <si>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</si>
  <si>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</si>
  <si>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</si>
  <si>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</si>
  <si>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</si>
  <si>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</si>
  <si>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</si>
  <si>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</si>
  <si>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</si>
  <si>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</si>
  <si>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</si>
  <si>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</si>
  <si>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</si>
  <si>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</si>
  <si>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</si>
  <si>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</si>
  <si>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</si>
  <si>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</si>
  <si>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</si>
  <si>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</si>
  <si>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</si>
  <si>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</si>
  <si>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</si>
  <si>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</si>
  <si>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</si>
  <si>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</si>
  <si>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</si>
  <si>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</si>
  <si>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</si>
  <si>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</si>
  <si>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</si>
  <si>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</si>
  <si>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</si>
  <si>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</si>
  <si>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</si>
  <si>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</si>
  <si>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</si>
  <si>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</si>
  <si>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</si>
  <si>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</si>
  <si>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</si>
  <si>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</si>
  <si>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</si>
  <si>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</si>
  <si>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</si>
  <si>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</si>
  <si>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</si>
  <si>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</si>
  <si>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</si>
  <si>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</si>
  <si>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</si>
  <si>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</si>
  <si>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</si>
  <si>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</si>
  <si>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</si>
  <si>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</si>
  <si>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</si>
  <si>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</si>
  <si>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</si>
  <si>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</si>
  <si>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</si>
  <si>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</si>
  <si>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</si>
  <si>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</si>
  <si>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</si>
  <si>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</si>
  <si>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</si>
  <si>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</si>
  <si>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</si>
  <si>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</si>
  <si>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</si>
  <si>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</si>
  <si>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</si>
  <si>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</si>
  <si>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</si>
  <si>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</si>
  <si>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</si>
  <si>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</si>
  <si>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</si>
  <si>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</si>
  <si>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</si>
  <si>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</si>
  <si>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</si>
  <si>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</si>
  <si>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</si>
  <si>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</si>
  <si>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</si>
  <si>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</si>
  <si>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</si>
  <si>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</si>
  <si>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</si>
  <si>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</si>
  <si>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</si>
  <si>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</si>
  <si>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</si>
  <si>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</si>
  <si>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</si>
  <si>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</si>
  <si>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</si>
  <si>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</si>
  <si>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</si>
  <si>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</si>
  <si>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</si>
  <si>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</si>
  <si>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</si>
  <si>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</si>
  <si>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</si>
  <si>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</si>
  <si>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</si>
  <si>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</si>
  <si>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</si>
  <si>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</si>
  <si>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</si>
  <si>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</si>
  <si>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</si>
  <si>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</si>
  <si>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</si>
  <si>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</si>
  <si>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</si>
  <si>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</si>
  <si>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</si>
  <si>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</si>
  <si>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</si>
  <si>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</si>
  <si>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</si>
  <si>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</si>
  <si>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</si>
  <si>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</si>
  <si>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</si>
  <si>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</si>
  <si>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</si>
  <si>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</si>
  <si>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</si>
  <si>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</si>
  <si>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</si>
  <si>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</si>
  <si>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</si>
  <si>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</si>
  <si>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</si>
  <si>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</si>
  <si>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</si>
  <si>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</si>
  <si>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</si>
  <si>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</si>
  <si>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</si>
  <si>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</si>
  <si>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</si>
  <si>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</si>
  <si>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</si>
  <si>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</si>
  <si>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</si>
  <si>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</si>
  <si>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</si>
  <si>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</si>
  <si>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</si>
  <si>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</si>
  <si>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</si>
  <si>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</si>
  <si>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</si>
  <si>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</si>
  <si>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</si>
  <si>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</si>
  <si>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</si>
  <si>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</si>
  <si>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</si>
  <si>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</si>
  <si>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</si>
  <si>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</si>
  <si>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</si>
  <si>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</si>
  <si>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</si>
  <si>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</si>
  <si>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</si>
  <si>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</si>
  <si>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</si>
  <si>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</si>
  <si>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</si>
  <si>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</si>
  <si>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</si>
  <si>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</si>
  <si>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</si>
  <si>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</si>
  <si>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</si>
  <si>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</si>
  <si>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</si>
  <si>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</si>
  <si>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</si>
  <si>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</si>
  <si>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</si>
  <si>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</si>
  <si>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</si>
  <si>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</si>
  <si>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</si>
  <si>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</si>
  <si>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</si>
  <si>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</si>
  <si>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</si>
  <si>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</si>
  <si>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</si>
  <si>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</si>
  <si>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</si>
  <si>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</si>
  <si>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</si>
  <si>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</si>
  <si>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</si>
  <si>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</si>
  <si>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</si>
  <si>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</si>
  <si>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</si>
  <si>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</si>
  <si>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</si>
  <si>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</si>
  <si>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</si>
  <si>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</si>
  <si>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</si>
  <si>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</si>
  <si>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</si>
  <si>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</si>
  <si>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</si>
  <si>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</si>
  <si>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</si>
  <si>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</si>
  <si>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</si>
  <si>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</si>
  <si>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</si>
  <si>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</si>
  <si>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</si>
  <si>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</si>
  <si>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</si>
  <si>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</si>
  <si>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</si>
  <si>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</si>
  <si>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</si>
  <si>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</si>
  <si>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</si>
  <si>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</si>
  <si>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</si>
  <si>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</si>
  <si>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</si>
  <si>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</si>
  <si>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</si>
  <si>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</si>
  <si>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</si>
  <si>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</si>
  <si>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</si>
  <si>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</si>
  <si>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</si>
  <si>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</si>
  <si>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</si>
  <si>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</si>
  <si>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</si>
  <si>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</si>
  <si>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</si>
  <si>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</si>
  <si>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</si>
  <si>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</si>
  <si>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</si>
  <si>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</si>
  <si>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</si>
  <si>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</si>
  <si>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</si>
  <si>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</si>
  <si>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</si>
  <si>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</si>
  <si>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</si>
  <si>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</si>
  <si>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</si>
  <si>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</si>
  <si>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</si>
  <si>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</si>
  <si>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</si>
  <si>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</si>
  <si>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</si>
  <si>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</si>
  <si>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</si>
  <si>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</si>
  <si>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</si>
  <si>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</si>
  <si>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</si>
  <si>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</si>
  <si>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</si>
  <si>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</si>
  <si>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</si>
  <si>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</si>
  <si>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</si>
  <si>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</si>
  <si>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</si>
  <si>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</si>
  <si>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</si>
  <si>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</si>
  <si>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</si>
  <si>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</si>
  <si>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</si>
  <si>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</si>
  <si>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</si>
  <si>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</si>
  <si>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</si>
  <si>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</si>
  <si>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</si>
  <si>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</si>
  <si>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</si>
  <si>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</si>
  <si>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</si>
  <si>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</si>
  <si>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</si>
  <si>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</si>
  <si>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</si>
  <si>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</si>
  <si>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</si>
  <si>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</si>
  <si>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</si>
  <si>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</si>
  <si>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</si>
  <si>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</si>
  <si>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</si>
  <si>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</si>
  <si>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</si>
  <si>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</si>
  <si>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</si>
  <si>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</si>
  <si>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</si>
  <si>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</si>
  <si>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</si>
  <si>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</si>
  <si>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</si>
  <si>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</si>
  <si>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</si>
  <si>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</si>
  <si>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</si>
  <si>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</si>
  <si>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</si>
  <si>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</si>
  <si>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</si>
  <si>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</si>
  <si>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</si>
  <si>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</si>
  <si>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</si>
  <si>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</si>
  <si>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</si>
  <si>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</si>
  <si>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</si>
  <si>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</si>
  <si>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</si>
  <si>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</si>
  <si>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</si>
  <si>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</si>
  <si>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</si>
  <si>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</si>
  <si>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</si>
  <si>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</si>
  <si>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</si>
  <si>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</si>
  <si>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</si>
  <si>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</si>
  <si>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</si>
  <si>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</si>
  <si>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</si>
  <si>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</si>
  <si>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</si>
  <si>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</si>
  <si>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</si>
  <si>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</si>
  <si>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</si>
  <si>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</si>
  <si>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</si>
  <si>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</si>
  <si>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</si>
  <si>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</si>
  <si>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</si>
  <si>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</si>
  <si>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</si>
  <si>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</si>
  <si>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</si>
  <si>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</si>
  <si>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</si>
  <si>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</si>
  <si>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</si>
  <si>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</si>
  <si>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</si>
  <si>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</si>
  <si>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</si>
  <si>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</si>
  <si>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</si>
  <si>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</si>
  <si>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</si>
  <si>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</si>
  <si>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</si>
  <si>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</si>
  <si>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</si>
  <si>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</si>
  <si>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</si>
  <si>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</si>
  <si>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</si>
  <si>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</si>
  <si>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</si>
  <si>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</si>
  <si>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</si>
  <si>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</si>
  <si>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</si>
  <si>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</si>
  <si>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</si>
  <si>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</si>
  <si>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</si>
  <si>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</si>
  <si>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</si>
  <si>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</si>
  <si>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</si>
  <si>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</si>
  <si>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</si>
  <si>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</si>
  <si>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</si>
  <si>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</si>
  <si>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</si>
  <si>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</si>
  <si>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</si>
  <si>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</si>
  <si>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</si>
  <si>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</si>
  <si>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</si>
  <si>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</si>
  <si>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</si>
  <si>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</si>
  <si>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</si>
  <si>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</si>
  <si>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</si>
  <si>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</si>
  <si>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</si>
  <si>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</si>
  <si>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</si>
  <si>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</si>
  <si>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</si>
  <si>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</si>
  <si>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</si>
  <si>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</si>
  <si>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</si>
  <si>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</si>
  <si>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</si>
  <si>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</si>
  <si>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</si>
  <si>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</si>
  <si>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</si>
  <si>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</si>
  <si>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</si>
  <si>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</si>
  <si>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</si>
  <si>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</si>
  <si>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</si>
  <si>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</si>
  <si>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</si>
  <si>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</si>
  <si>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</si>
  <si>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</si>
  <si>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</si>
  <si>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</si>
  <si>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</si>
  <si>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</si>
  <si>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</si>
  <si>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</si>
  <si>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</si>
  <si>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</si>
  <si>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</si>
  <si>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</si>
  <si>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</si>
  <si>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</si>
  <si>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</si>
  <si>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</si>
  <si>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</si>
  <si>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</si>
  <si>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</si>
  <si>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</si>
  <si>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</si>
  <si>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</si>
  <si>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</si>
  <si>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</si>
  <si>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</si>
  <si>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</si>
  <si>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</si>
  <si>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</si>
  <si>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</si>
  <si>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</si>
  <si>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</si>
  <si>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</si>
  <si>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</si>
  <si>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</si>
  <si>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</si>
  <si>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</si>
  <si>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</si>
  <si>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</si>
  <si>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</si>
  <si>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</si>
  <si>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</si>
  <si>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</si>
  <si>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</si>
  <si>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</si>
  <si>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</si>
  <si>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</si>
  <si>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</si>
  <si>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</si>
  <si>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</si>
  <si>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</si>
  <si>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</si>
  <si>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</si>
  <si>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</si>
  <si>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</si>
  <si>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</si>
  <si>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</si>
  <si>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</si>
  <si>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</si>
  <si>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</si>
  <si>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</si>
  <si>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</si>
  <si>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</si>
  <si>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</si>
  <si>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</si>
  <si>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</si>
  <si>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</si>
  <si>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</si>
  <si>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</si>
  <si>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</si>
  <si>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</si>
  <si>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</si>
  <si>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</si>
  <si>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</si>
  <si>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</si>
  <si>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</si>
  <si>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</si>
  <si>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</si>
  <si>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</si>
  <si>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</si>
  <si>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</si>
  <si>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</si>
  <si>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</si>
  <si>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</si>
  <si>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</si>
  <si>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</si>
  <si>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</si>
  <si>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</si>
  <si>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</si>
  <si>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</si>
  <si>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</si>
  <si>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</si>
  <si>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</si>
  <si>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</si>
  <si>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</si>
  <si>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</si>
  <si>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</si>
  <si>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</si>
  <si>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</si>
  <si>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</si>
  <si>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</si>
  <si>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</si>
  <si>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</si>
  <si>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</si>
  <si>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</si>
  <si>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</si>
  <si>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</si>
  <si>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</si>
  <si>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</si>
  <si>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</si>
  <si>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</si>
  <si>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</si>
  <si>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</si>
  <si>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</si>
  <si>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</si>
  <si>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</si>
  <si>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</si>
  <si>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</si>
  <si>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</si>
  <si>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</si>
  <si>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</si>
  <si>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</si>
  <si>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</si>
  <si>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</si>
  <si>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</si>
  <si>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</si>
  <si>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</si>
  <si>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</si>
  <si>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</si>
  <si>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</si>
  <si>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</si>
  <si>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</si>
  <si>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</si>
  <si>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</si>
  <si>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</si>
  <si>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</si>
  <si>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</si>
  <si>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</si>
  <si>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</si>
  <si>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</si>
  <si>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</si>
  <si>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</si>
  <si>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</si>
  <si>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</si>
  <si>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</si>
  <si>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</si>
  <si>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</si>
  <si>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</si>
  <si>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</si>
  <si>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</si>
  <si>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</si>
  <si>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</si>
  <si>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</si>
  <si>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</si>
  <si>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</si>
  <si>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</si>
  <si>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</si>
  <si>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</si>
  <si>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</si>
  <si>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</si>
  <si>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</si>
  <si>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</si>
  <si>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</si>
  <si>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</si>
  <si>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</si>
  <si>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</si>
  <si>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</si>
  <si>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</si>
  <si>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</si>
  <si>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</si>
  <si>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</si>
  <si>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</si>
  <si>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</si>
  <si>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</si>
  <si>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</si>
  <si>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</si>
  <si>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</si>
  <si>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</si>
  <si>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</si>
  <si>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</si>
  <si>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</si>
  <si>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</si>
  <si>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</si>
  <si>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</si>
  <si>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</si>
  <si>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</si>
  <si>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</si>
  <si>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</si>
  <si>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</si>
  <si>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</si>
  <si>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</si>
  <si>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</si>
  <si>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</si>
  <si>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</si>
  <si>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</si>
  <si>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</si>
  <si>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</si>
  <si>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</si>
  <si>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</si>
  <si>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</si>
  <si>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</si>
  <si>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</si>
  <si>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</si>
  <si>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</si>
  <si>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</si>
  <si>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</si>
  <si>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</si>
  <si>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</si>
  <si>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</si>
  <si>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</si>
  <si>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</si>
  <si>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</si>
  <si>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</si>
  <si>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</si>
  <si>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</si>
  <si>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</si>
  <si>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</si>
  <si>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</si>
  <si>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</si>
  <si>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</si>
  <si>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</si>
  <si>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</si>
  <si>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</si>
  <si>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</si>
  <si>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</si>
  <si>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</si>
  <si>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</si>
  <si>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</si>
  <si>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</si>
  <si>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</si>
  <si>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</si>
  <si>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</si>
  <si>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</si>
  <si>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</si>
  <si>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</si>
  <si>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</si>
  <si>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</si>
  <si>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</si>
  <si>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</si>
  <si>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</si>
  <si>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</si>
  <si>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</si>
  <si>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</si>
  <si>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</si>
  <si>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</si>
  <si>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</si>
  <si>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</si>
  <si>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</si>
  <si>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</si>
  <si>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</si>
  <si>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</si>
  <si>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</si>
  <si>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</si>
  <si>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</si>
  <si>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</si>
  <si>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</si>
  <si>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</si>
  <si>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</si>
  <si>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</si>
  <si>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</si>
  <si>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</si>
  <si>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</si>
  <si>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</si>
  <si>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</si>
  <si>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</si>
  <si>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</si>
  <si>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</si>
  <si>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</si>
  <si>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</si>
  <si>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</si>
  <si>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</si>
  <si>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</si>
  <si>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</si>
  <si>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</si>
  <si>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</si>
  <si>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</si>
  <si>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</si>
  <si>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</si>
  <si>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</si>
  <si>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</si>
  <si>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</si>
  <si>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</si>
  <si>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</si>
  <si>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</si>
  <si>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</si>
  <si>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</si>
  <si>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</si>
  <si>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</si>
  <si>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</si>
  <si>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</si>
  <si>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</si>
  <si>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</si>
  <si>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</si>
  <si>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</si>
  <si>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</si>
  <si>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</si>
  <si>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</si>
  <si>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</si>
  <si>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</si>
  <si>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</si>
  <si>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</si>
  <si>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</si>
  <si>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</si>
  <si>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</si>
  <si>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</si>
  <si>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</si>
  <si>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</si>
  <si>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</si>
  <si>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</si>
  <si>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</si>
  <si>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</si>
  <si>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</si>
  <si>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</si>
  <si>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</si>
  <si>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</si>
  <si>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</si>
  <si>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</si>
  <si>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</si>
  <si>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</si>
  <si>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</si>
  <si>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</si>
  <si>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</si>
  <si>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</si>
  <si>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</si>
  <si>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</si>
  <si>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</si>
  <si>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</si>
  <si>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</si>
  <si>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</si>
  <si>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</si>
  <si>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</si>
  <si>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</si>
  <si>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</si>
  <si>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</si>
  <si>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</si>
  <si>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</si>
  <si>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</si>
  <si>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</si>
  <si>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</si>
  <si>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</si>
  <si>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</si>
  <si>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</si>
  <si>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</si>
  <si>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</si>
  <si>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</si>
  <si>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</si>
  <si>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</si>
  <si>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</si>
  <si>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</si>
  <si>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</si>
  <si>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</si>
  <si>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</si>
  <si>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</si>
  <si>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</si>
  <si>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</si>
  <si>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</si>
  <si>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</si>
  <si>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</si>
  <si>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</si>
  <si>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</si>
  <si>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</si>
  <si>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</si>
  <si>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</si>
  <si>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</si>
  <si>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</si>
  <si>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</si>
  <si>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</si>
  <si>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</si>
  <si>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</si>
  <si>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</si>
  <si>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</si>
  <si>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</si>
  <si>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</si>
  <si>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</si>
  <si>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</si>
  <si>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</si>
  <si>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</si>
  <si>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</si>
  <si>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</si>
  <si>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</si>
  <si>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</si>
  <si>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</si>
  <si>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</si>
  <si>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</si>
  <si>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</si>
  <si>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</si>
  <si>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</si>
  <si>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</si>
  <si>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</si>
  <si>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</si>
  <si>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</si>
  <si>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</si>
  <si>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</si>
  <si>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</si>
  <si>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</si>
  <si>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</si>
  <si>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</si>
  <si>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</si>
  <si>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</si>
  <si>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</si>
  <si>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</si>
  <si>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</si>
  <si>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</si>
  <si>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</si>
  <si>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</si>
  <si>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</si>
  <si>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</si>
  <si>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</si>
  <si>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</si>
  <si>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</si>
  <si>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</si>
  <si>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</si>
  <si>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</si>
  <si>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</si>
  <si>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</si>
  <si>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</si>
  <si>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</si>
  <si>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</si>
  <si>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</si>
  <si>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</si>
  <si>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</si>
  <si>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</si>
  <si>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</si>
  <si>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</si>
  <si>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</si>
  <si>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</si>
  <si>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</si>
  <si>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</si>
  <si>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</si>
  <si>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</si>
  <si>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</si>
  <si>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</si>
  <si>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</si>
  <si>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</si>
  <si>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</si>
  <si>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</si>
  <si>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</si>
  <si>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</si>
  <si>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</si>
  <si>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</si>
  <si>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</si>
  <si>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</si>
  <si>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</si>
  <si>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</si>
  <si>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</si>
  <si>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</si>
  <si>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</si>
  <si>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</si>
  <si>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</si>
  <si>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</si>
  <si>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</si>
  <si>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</si>
  <si>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</si>
  <si>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</si>
  <si>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</si>
  <si>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</si>
  <si>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</si>
  <si>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</si>
  <si>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</si>
  <si>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</si>
  <si>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</si>
  <si>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</si>
  <si>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</si>
  <si>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</si>
  <si>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</si>
  <si>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</si>
  <si>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</si>
  <si>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</si>
  <si>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</si>
  <si>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</si>
  <si>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</si>
  <si>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</si>
  <si>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</si>
  <si>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</si>
  <si>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</si>
  <si>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</si>
  <si>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</si>
  <si>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</si>
  <si>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</si>
  <si>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</si>
  <si>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</si>
  <si>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</si>
  <si>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</si>
  <si>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</si>
  <si>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</si>
  <si>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</si>
  <si>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</si>
  <si>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</si>
  <si>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</si>
  <si>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</si>
  <si>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</si>
  <si>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</si>
  <si>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</si>
  <si>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</si>
  <si>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</si>
  <si>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</si>
  <si>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</si>
  <si>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</si>
  <si>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</si>
  <si>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</si>
  <si>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</si>
  <si>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</si>
  <si>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</si>
  <si>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</si>
  <si>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</si>
  <si>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</si>
  <si>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</si>
  <si>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</si>
  <si>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</si>
  <si>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</si>
  <si>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</si>
  <si>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</si>
  <si>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</si>
  <si>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</si>
  <si>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</si>
  <si>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</si>
  <si>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</si>
  <si>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</si>
  <si>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</si>
  <si>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</si>
  <si>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</si>
  <si>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</si>
  <si>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</si>
  <si>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</si>
  <si>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</si>
  <si>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</si>
  <si>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</si>
  <si>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</si>
  <si>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</si>
  <si>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</si>
  <si>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</si>
  <si>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</si>
  <si>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</si>
  <si>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</si>
  <si>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</si>
  <si>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</si>
  <si>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</si>
  <si>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</si>
  <si>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</si>
  <si>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</si>
  <si>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</si>
  <si>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</si>
  <si>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</si>
  <si>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</si>
  <si>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</si>
  <si>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</si>
  <si>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</si>
  <si>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</si>
  <si>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</si>
  <si>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</si>
  <si>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</si>
  <si>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</si>
  <si>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</si>
  <si>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</si>
  <si>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</si>
  <si>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</si>
  <si>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</si>
  <si>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</si>
  <si>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</si>
  <si>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</si>
  <si>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</si>
  <si>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</si>
  <si>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</si>
  <si>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</si>
  <si>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</si>
  <si>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</si>
  <si>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</si>
  <si>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</si>
  <si>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</si>
  <si>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</si>
  <si>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</si>
  <si>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</si>
  <si>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</si>
  <si>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</si>
  <si>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</si>
  <si>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</si>
  <si>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</si>
  <si>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</si>
  <si>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</si>
  <si>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</si>
  <si>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</si>
  <si>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</si>
  <si>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</si>
  <si>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</si>
  <si>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</si>
  <si>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</si>
  <si>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</si>
  <si>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</si>
  <si>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</si>
  <si>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</si>
  <si>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</si>
  <si>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</si>
  <si>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</si>
  <si>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</si>
  <si>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</si>
  <si>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</si>
  <si>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</si>
  <si>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</si>
  <si>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</si>
  <si>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</si>
  <si>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</si>
  <si>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</si>
  <si>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</si>
  <si>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</si>
  <si>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</si>
  <si>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</si>
  <si>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</si>
  <si>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</si>
  <si>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</si>
  <si>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</si>
  <si>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</si>
  <si>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</si>
  <si>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</si>
  <si>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</si>
  <si>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</si>
  <si>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</si>
  <si>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</si>
  <si>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</si>
  <si>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</si>
  <si>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</si>
  <si>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</si>
  <si>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</si>
  <si>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</si>
  <si>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</si>
  <si>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</si>
  <si>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</si>
  <si>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</si>
  <si>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</si>
  <si>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</si>
  <si>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</si>
  <si>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</si>
  <si>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</si>
  <si>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</si>
  <si>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</si>
  <si>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</si>
  <si>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</si>
  <si>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</si>
  <si>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</si>
  <si>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</si>
  <si>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</si>
  <si>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</si>
  <si>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</si>
  <si>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</si>
  <si>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</si>
  <si>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</si>
  <si>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</si>
  <si>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</si>
  <si>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</si>
  <si>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</si>
  <si>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</si>
  <si>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</si>
  <si>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</si>
  <si>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</si>
  <si>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</si>
  <si>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</si>
  <si>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</si>
  <si>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</si>
  <si>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</si>
  <si>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</si>
  <si>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</si>
  <si>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</si>
  <si>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</si>
  <si>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</si>
  <si>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</si>
  <si>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</si>
  <si>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</si>
  <si>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</si>
  <si>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</si>
  <si>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</si>
  <si>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</si>
  <si>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</si>
  <si>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</si>
  <si>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</si>
  <si>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</si>
  <si>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</si>
  <si>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</si>
  <si>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</si>
  <si>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</si>
  <si>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</si>
  <si>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</si>
  <si>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</si>
  <si>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</si>
  <si>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</si>
  <si>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</si>
  <si>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</si>
  <si>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</si>
  <si>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</si>
  <si>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</si>
  <si>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</si>
  <si>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</si>
  <si>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</si>
  <si>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</si>
  <si>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</si>
  <si>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</si>
  <si>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</si>
  <si>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</si>
  <si>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</si>
  <si>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</si>
  <si>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</si>
  <si>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</si>
  <si>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</si>
  <si>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</si>
  <si>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</si>
  <si>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</si>
  <si>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</si>
  <si>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</si>
  <si>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</si>
  <si>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</si>
  <si>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</si>
  <si>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</si>
  <si>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</si>
  <si>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</si>
  <si>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</si>
  <si>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</si>
  <si>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</si>
  <si>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</si>
  <si>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</si>
  <si>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</si>
  <si>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</si>
  <si>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</si>
  <si>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</si>
  <si>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</si>
  <si>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</si>
  <si>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</si>
  <si>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</si>
  <si>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</si>
  <si>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</si>
  <si>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</si>
  <si>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</si>
  <si>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</si>
  <si>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</si>
  <si>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</si>
  <si>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</si>
  <si>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</si>
  <si>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</si>
  <si>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</si>
  <si>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</si>
  <si>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</si>
  <si>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</si>
  <si>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</si>
  <si>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</si>
  <si>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</si>
  <si>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</si>
  <si>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</si>
  <si>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</si>
  <si>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</si>
  <si>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</si>
  <si>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</si>
  <si>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</si>
  <si>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</si>
  <si>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</si>
  <si>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</si>
  <si>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</si>
  <si>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</si>
  <si>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</si>
  <si>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</si>
  <si>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</si>
  <si>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</si>
  <si>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</si>
  <si>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</si>
  <si>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</si>
  <si>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</si>
  <si>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</si>
  <si>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</si>
  <si>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</si>
  <si>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</si>
  <si>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</si>
  <si>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</si>
  <si>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</si>
  <si>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</si>
  <si>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</si>
  <si>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</si>
  <si>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</si>
  <si>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</si>
  <si>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</si>
  <si>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</si>
  <si>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</si>
  <si>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</si>
  <si>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</si>
  <si>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</si>
  <si>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</si>
  <si>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</si>
  <si>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</si>
  <si>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</si>
  <si>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</si>
  <si>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</si>
  <si>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</si>
  <si>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</si>
  <si>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</si>
  <si>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</si>
  <si>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</si>
  <si>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</si>
  <si>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</si>
  <si>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</si>
  <si>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</si>
  <si>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</si>
  <si>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</si>
  <si>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</si>
  <si>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</si>
  <si>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</si>
  <si>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</si>
  <si>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</si>
  <si>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</si>
  <si>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</si>
  <si>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</si>
  <si>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</si>
  <si>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</si>
  <si>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</si>
  <si>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</si>
  <si>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</si>
  <si>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</si>
  <si>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</si>
  <si>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</si>
  <si>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</si>
  <si>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</si>
  <si>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</si>
  <si>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</si>
  <si>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</si>
  <si>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</si>
  <si>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</si>
  <si>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</si>
  <si>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</si>
  <si>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</si>
  <si>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</si>
  <si>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</si>
  <si>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</si>
  <si>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</si>
  <si>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</si>
  <si>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</si>
  <si>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</si>
  <si>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</si>
  <si>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</si>
  <si>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</si>
  <si>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</si>
  <si>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</si>
  <si>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</si>
  <si>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</si>
  <si>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</si>
  <si>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</si>
  <si>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</si>
  <si>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</si>
  <si>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</si>
  <si>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</si>
  <si>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</si>
  <si>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</si>
  <si>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</si>
  <si>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</si>
  <si>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</si>
  <si>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</si>
  <si>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</si>
  <si>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</si>
  <si>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</si>
  <si>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</si>
  <si>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</si>
  <si>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</si>
  <si>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</si>
  <si>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</si>
  <si>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</si>
  <si>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</si>
  <si>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</si>
  <si>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</si>
  <si>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</si>
  <si>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</si>
  <si>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</si>
  <si>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</si>
  <si>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</si>
  <si>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</si>
  <si>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</si>
  <si>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</si>
  <si>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</si>
  <si>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</si>
  <si>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</si>
  <si>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</si>
  <si>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</si>
  <si>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</si>
  <si>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</si>
  <si>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</si>
  <si>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</si>
  <si>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</si>
  <si>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</si>
  <si>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</si>
  <si>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</si>
  <si>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</si>
  <si>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</si>
  <si>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</si>
  <si>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</si>
  <si>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</si>
  <si>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</si>
  <si>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</si>
  <si>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</si>
  <si>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</si>
  <si>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</si>
  <si>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</si>
  <si>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</si>
  <si>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</si>
  <si>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</si>
  <si>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</si>
  <si>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</si>
  <si>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</si>
  <si>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</si>
  <si>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</si>
  <si>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</si>
  <si>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</si>
  <si>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</si>
  <si>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</si>
  <si>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</si>
  <si>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</si>
  <si>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</si>
  <si>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</si>
  <si>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</si>
  <si>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</si>
  <si>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</si>
  <si>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</si>
  <si>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</si>
  <si>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</si>
  <si>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</si>
  <si>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</si>
  <si>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</si>
  <si>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</si>
  <si>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</si>
  <si>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</si>
  <si>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</si>
  <si>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</si>
  <si>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</si>
  <si>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</si>
  <si>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</si>
  <si>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</si>
  <si>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</si>
  <si>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</si>
  <si>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</si>
  <si>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</si>
  <si>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</si>
  <si>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</si>
  <si>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</si>
  <si>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</si>
  <si>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</si>
  <si>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</si>
  <si>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</si>
  <si>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</si>
  <si>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</si>
  <si>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</si>
  <si>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</si>
  <si>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</si>
  <si>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</si>
  <si>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</si>
  <si>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</si>
  <si>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</si>
  <si>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</si>
  <si>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</si>
  <si>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</si>
  <si>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</si>
  <si>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</si>
  <si>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</si>
  <si>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</si>
  <si>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</si>
  <si>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</si>
  <si>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</si>
  <si>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</si>
  <si>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</si>
  <si>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</si>
  <si>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</si>
  <si>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</si>
  <si>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</si>
  <si>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</si>
  <si>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</si>
  <si>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</si>
  <si>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</si>
  <si>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</si>
  <si>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</si>
  <si>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</si>
  <si>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</si>
  <si>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</si>
  <si>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</si>
  <si>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</si>
  <si>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</si>
  <si>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</si>
  <si>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</si>
  <si>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</si>
  <si>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</si>
  <si>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</si>
  <si>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</si>
  <si>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</si>
  <si>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</si>
  <si>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</si>
  <si>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</si>
  <si>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</si>
  <si>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</si>
  <si>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</si>
  <si>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</si>
  <si>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</si>
  <si>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</si>
  <si>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</si>
  <si>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</si>
  <si>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</si>
  <si>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</si>
  <si>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</si>
  <si>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</si>
  <si>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</si>
  <si>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</si>
  <si>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</si>
  <si>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</si>
  <si>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</si>
  <si>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</si>
  <si>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</si>
  <si>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</si>
  <si>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</si>
  <si>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</si>
  <si>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</si>
  <si>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</si>
  <si>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</si>
  <si>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</si>
  <si>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</si>
  <si>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</si>
  <si>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</si>
  <si>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</si>
  <si>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</si>
  <si>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</si>
  <si>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</si>
  <si>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</si>
  <si>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</si>
  <si>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</si>
  <si>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</si>
  <si>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</si>
  <si>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</si>
  <si>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</si>
  <si>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</si>
  <si>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</si>
  <si>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</si>
  <si>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</si>
  <si>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</si>
  <si>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</si>
  <si>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</si>
  <si>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</si>
  <si>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</si>
  <si>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</si>
  <si>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</si>
  <si>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</si>
  <si>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</si>
  <si>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</si>
  <si>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</si>
  <si>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</si>
  <si>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</si>
  <si>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</si>
  <si>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</si>
  <si>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</si>
  <si>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</si>
  <si>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</si>
  <si>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</si>
  <si>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</si>
  <si>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</si>
  <si>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</si>
  <si>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</si>
  <si>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</si>
  <si>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</si>
  <si>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</si>
  <si>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</si>
  <si>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</si>
  <si>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</si>
  <si>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</si>
  <si>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</si>
  <si>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</si>
  <si>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</si>
  <si>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</si>
  <si>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</si>
  <si>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</si>
  <si>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</si>
  <si>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</si>
  <si>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</si>
  <si>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</si>
  <si>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</si>
  <si>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</si>
  <si>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</si>
  <si>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</si>
  <si>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</si>
  <si>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</si>
  <si>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</si>
  <si>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</si>
  <si>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</si>
  <si>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</si>
  <si>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</si>
  <si>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</si>
  <si>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</si>
  <si>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</si>
  <si>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</si>
  <si>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</si>
  <si>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</si>
  <si>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</si>
  <si>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</si>
  <si>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</si>
  <si>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</si>
  <si>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</si>
  <si>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</si>
  <si>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</si>
  <si>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</si>
  <si>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</si>
  <si>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</si>
  <si>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</si>
  <si>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</si>
  <si>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</si>
  <si>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</si>
  <si>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</si>
  <si>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</si>
  <si>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</si>
  <si>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</si>
  <si>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</si>
  <si>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</si>
  <si>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</si>
  <si>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</si>
  <si>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</si>
  <si>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</si>
  <si>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</si>
  <si>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</si>
  <si>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</si>
  <si>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</si>
  <si>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</si>
  <si>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</si>
  <si>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</si>
  <si>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</si>
  <si>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</si>
  <si>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</si>
  <si>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</si>
  <si>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</si>
  <si>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</si>
  <si>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</si>
  <si>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</si>
  <si>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</si>
  <si>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</si>
  <si>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</si>
  <si>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</si>
  <si>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</si>
  <si>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</si>
  <si>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</si>
  <si>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</si>
  <si>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</si>
  <si>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</si>
  <si>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</si>
  <si>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</si>
  <si>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</si>
  <si>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</si>
  <si>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</si>
  <si>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</si>
  <si>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</si>
  <si>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</si>
  <si>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</si>
  <si>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</si>
  <si>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</si>
  <si>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</si>
  <si>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</si>
  <si>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</si>
  <si>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</si>
  <si>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</si>
  <si>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</si>
  <si>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</si>
  <si>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</si>
  <si>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</si>
  <si>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</si>
  <si>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</si>
  <si>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</si>
  <si>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</si>
  <si>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</si>
  <si>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</si>
  <si>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</si>
  <si>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</si>
  <si>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</si>
  <si>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</si>
  <si>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</si>
  <si>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</si>
  <si>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</si>
  <si>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</si>
  <si>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</si>
  <si>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</si>
  <si>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</si>
  <si>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</si>
  <si>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</si>
  <si>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</si>
  <si>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</si>
  <si>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</si>
  <si>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</si>
  <si>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</si>
  <si>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</si>
  <si>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</si>
  <si>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</si>
  <si>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</si>
  <si>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</si>
  <si>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</si>
  <si>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</si>
  <si>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</si>
  <si>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</si>
  <si>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</si>
  <si>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</si>
  <si>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</si>
  <si>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</si>
  <si>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</si>
  <si>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</si>
  <si>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</si>
  <si>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</si>
  <si>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</si>
  <si>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</si>
  <si>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</si>
  <si>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</si>
  <si>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</si>
  <si>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</si>
  <si>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</si>
  <si>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</si>
  <si>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</si>
  <si>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</si>
  <si>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</si>
  <si>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</si>
  <si>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</si>
  <si>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</si>
  <si>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</si>
  <si>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</si>
  <si>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</si>
  <si>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</si>
  <si>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</si>
  <si>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</si>
  <si>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</si>
  <si>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</si>
  <si>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</si>
  <si>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</si>
  <si>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</si>
  <si>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</si>
  <si>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</si>
  <si>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</si>
  <si>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</si>
  <si>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</si>
  <si>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</si>
  <si>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</si>
  <si>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</si>
  <si>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</si>
  <si>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</si>
  <si>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</si>
  <si>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</si>
  <si>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</si>
  <si>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</si>
  <si>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</si>
  <si>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</si>
  <si>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</si>
  <si>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</si>
  <si>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</si>
  <si>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</si>
  <si>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</si>
  <si>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</si>
  <si>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</si>
  <si>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</si>
  <si>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</si>
  <si>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</si>
  <si>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</si>
  <si>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</si>
  <si>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</si>
  <si>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</si>
  <si>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</si>
  <si>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</si>
  <si>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</si>
  <si>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</si>
  <si>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</si>
  <si>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</si>
  <si>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</si>
  <si>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</si>
  <si>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</si>
  <si>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</si>
  <si>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</si>
  <si>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</si>
  <si>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</si>
  <si>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</si>
  <si>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</si>
  <si>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</si>
  <si>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</si>
  <si>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</si>
  <si>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</si>
  <si>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</si>
  <si>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</si>
  <si>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</si>
  <si>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</si>
  <si>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</si>
  <si>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</si>
  <si>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</si>
  <si>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</si>
  <si>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</si>
  <si>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</si>
  <si>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</si>
  <si>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</si>
  <si>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</si>
  <si>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</si>
  <si>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</si>
  <si>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</si>
  <si>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</si>
  <si>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</si>
  <si>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</si>
  <si>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</si>
  <si>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</si>
  <si>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</si>
  <si>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</si>
  <si>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</si>
  <si>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</si>
  <si>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</si>
  <si>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</si>
  <si>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</si>
  <si>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</si>
  <si>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</si>
  <si>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</si>
  <si>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</si>
  <si>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</si>
  <si>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</si>
  <si>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</si>
  <si>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</si>
  <si>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</si>
  <si>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</si>
  <si>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</si>
  <si>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</si>
  <si>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</si>
  <si>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</si>
  <si>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</si>
  <si>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</si>
  <si>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</si>
  <si>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</si>
  <si>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</si>
  <si>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</si>
  <si>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</si>
  <si>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</si>
  <si>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</si>
  <si>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</si>
  <si>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</si>
  <si>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</si>
  <si>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</si>
  <si>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</si>
  <si>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</si>
  <si>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</si>
  <si>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</si>
  <si>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</si>
  <si>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</si>
  <si>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</si>
  <si>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</si>
  <si>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</si>
  <si>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</si>
  <si>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</si>
  <si>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</si>
  <si>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</si>
  <si>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</si>
  <si>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</si>
  <si>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</si>
  <si>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</si>
  <si>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</si>
  <si>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</si>
  <si>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</si>
  <si>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</si>
  <si>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</si>
  <si>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</si>
  <si>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</si>
  <si>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</si>
  <si>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</si>
  <si>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</si>
  <si>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</si>
  <si>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</si>
  <si>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</si>
  <si>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</si>
  <si>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</si>
  <si>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</si>
  <si>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</si>
  <si>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</si>
  <si>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</si>
  <si>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</si>
  <si>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</si>
  <si>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</si>
  <si>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</si>
  <si>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</si>
  <si>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</si>
  <si>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</si>
  <si>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</si>
  <si>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</si>
  <si>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</si>
  <si>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</si>
  <si>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</si>
  <si>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</si>
  <si>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</si>
  <si>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</si>
  <si>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</si>
  <si>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</si>
  <si>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</si>
  <si>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</si>
  <si>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</si>
  <si>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</si>
  <si>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</si>
  <si>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</si>
  <si>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</si>
  <si>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</si>
  <si>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</si>
  <si>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</si>
  <si>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</si>
  <si>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</si>
  <si>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</si>
  <si>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</si>
  <si>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</si>
  <si>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</si>
  <si>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</si>
  <si>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</si>
  <si>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</si>
  <si>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</si>
  <si>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</si>
  <si>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</si>
  <si>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</si>
  <si>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</si>
  <si>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</si>
  <si>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</si>
  <si>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</si>
  <si>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</si>
  <si>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</si>
  <si>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</si>
  <si>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</si>
  <si>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</si>
  <si>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</si>
  <si>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</si>
  <si>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</si>
  <si>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</si>
  <si>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</si>
  <si>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</si>
  <si>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</si>
  <si>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</si>
  <si>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</si>
  <si>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</si>
  <si>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</si>
  <si>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</si>
  <si>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</si>
  <si>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</si>
  <si>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</si>
  <si>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</si>
  <si>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</si>
  <si>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</si>
  <si>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</si>
  <si>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</si>
  <si>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</si>
  <si>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</si>
  <si>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</si>
  <si>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</si>
  <si>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</si>
  <si>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</si>
  <si>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</si>
  <si>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</si>
  <si>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</si>
  <si>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</si>
  <si>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</si>
  <si>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</si>
  <si>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</si>
  <si>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</si>
  <si>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</si>
  <si>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</si>
  <si>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</si>
  <si>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</si>
  <si>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</si>
  <si>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</si>
  <si>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</si>
  <si>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</si>
  <si>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</si>
  <si>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</si>
  <si>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</si>
  <si>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</si>
  <si>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</si>
  <si>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</si>
  <si>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</si>
  <si>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</si>
  <si>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</si>
  <si>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</si>
  <si>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</si>
  <si>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</si>
  <si>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</si>
  <si>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</si>
  <si>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</si>
  <si>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</si>
  <si>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</si>
  <si>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</si>
  <si>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</si>
  <si>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</si>
  <si>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</si>
  <si>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</si>
  <si>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</si>
  <si>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</si>
  <si>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</si>
  <si>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</si>
  <si>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</si>
  <si>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</si>
  <si>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</si>
  <si>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</si>
  <si>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</si>
  <si>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</si>
  <si>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</si>
  <si>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</si>
  <si>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</si>
  <si>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</si>
  <si>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</si>
  <si>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</si>
  <si>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</si>
  <si>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</si>
  <si>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</si>
  <si>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</si>
  <si>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</si>
  <si>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</si>
  <si>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</si>
  <si>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</si>
  <si>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</si>
  <si>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</si>
  <si>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</si>
  <si>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</si>
  <si>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</si>
  <si>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</si>
  <si>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</si>
  <si>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</si>
  <si>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</si>
  <si>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</si>
  <si>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</si>
  <si>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</si>
  <si>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</si>
  <si>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</si>
  <si>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</si>
  <si>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</si>
  <si>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</si>
  <si>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</si>
  <si>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</si>
  <si>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</si>
  <si>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</si>
  <si>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</si>
  <si>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</si>
  <si>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</si>
  <si>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</si>
  <si>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</si>
  <si>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</si>
  <si>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</si>
  <si>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</si>
  <si>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</si>
  <si>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</si>
  <si>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</si>
  <si>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</si>
  <si>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</si>
  <si>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</si>
  <si>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</si>
  <si>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</si>
  <si>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</si>
  <si>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</si>
  <si>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</si>
  <si>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</si>
  <si>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</si>
  <si>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</si>
  <si>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</si>
  <si>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</si>
  <si>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</si>
  <si>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</si>
  <si>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</si>
  <si>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</si>
  <si>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</si>
  <si>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</si>
  <si>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</si>
  <si>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</si>
  <si>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</si>
  <si>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</si>
  <si>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</si>
  <si>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</si>
  <si>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</si>
  <si>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</si>
  <si>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</si>
  <si>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</si>
  <si>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</si>
  <si>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</si>
  <si>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</si>
  <si>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</si>
  <si>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</si>
  <si>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</si>
  <si>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</si>
  <si>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</si>
  <si>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</si>
  <si>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</si>
  <si>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</si>
  <si>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</si>
  <si>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</si>
  <si>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</si>
  <si>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</si>
  <si>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</si>
  <si>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</si>
  <si>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</si>
  <si>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</si>
  <si>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</si>
  <si>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</si>
  <si>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</si>
  <si>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</si>
  <si>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</si>
  <si>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</si>
  <si>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</si>
  <si>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</si>
  <si>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</si>
  <si>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</si>
  <si>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</si>
  <si>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</si>
  <si>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</si>
  <si>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</si>
  <si>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</si>
  <si>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</si>
  <si>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</si>
  <si>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</si>
  <si>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</si>
  <si>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</si>
  <si>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</si>
  <si>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</si>
  <si>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</si>
  <si>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</si>
  <si>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</si>
  <si>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</si>
  <si>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</si>
  <si>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</si>
  <si>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</si>
  <si>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</si>
  <si>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</si>
  <si>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</si>
  <si>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</si>
  <si>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</si>
  <si>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</si>
  <si>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</si>
  <si>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</si>
  <si>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</si>
  <si>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</si>
  <si>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</si>
  <si>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</si>
  <si>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</si>
  <si>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</si>
  <si>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</si>
  <si>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</si>
  <si>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</si>
  <si>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</si>
  <si>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</si>
  <si>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</si>
  <si>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</si>
  <si>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</si>
  <si>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</si>
  <si>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</si>
  <si>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</si>
  <si>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</si>
  <si>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</si>
  <si>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</si>
  <si>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</si>
  <si>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</si>
  <si>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</si>
  <si>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</si>
  <si>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</si>
  <si>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</si>
  <si>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</si>
  <si>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</si>
  <si>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</si>
  <si>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</si>
  <si>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</si>
  <si>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</si>
  <si>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</si>
  <si>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</si>
  <si>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</si>
  <si>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</si>
  <si>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</si>
  <si>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</si>
  <si>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</si>
  <si>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</si>
  <si>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</si>
  <si>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</si>
  <si>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</si>
  <si>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</si>
  <si>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</si>
  <si>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</si>
  <si>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</si>
  <si>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</si>
  <si>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</si>
  <si>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</si>
  <si>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</si>
  <si>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</si>
  <si>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</si>
  <si>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</si>
  <si>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</si>
  <si>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</si>
  <si>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</si>
  <si>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</si>
  <si>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</si>
  <si>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</si>
  <si>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</si>
  <si>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</si>
  <si>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</si>
  <si>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</si>
  <si>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</si>
  <si>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</si>
  <si>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</si>
  <si>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</si>
  <si>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</si>
  <si>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</si>
  <si>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</si>
  <si>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</si>
  <si>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</si>
  <si>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</si>
  <si>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</si>
  <si>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</si>
  <si>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</si>
  <si>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</si>
  <si>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</si>
  <si>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</si>
  <si>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</si>
  <si>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</si>
  <si>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</si>
  <si>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</si>
  <si>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</si>
  <si>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</si>
  <si>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</si>
  <si>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</si>
  <si>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</si>
  <si>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</si>
  <si>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</si>
  <si>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</si>
  <si>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</si>
  <si>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</si>
  <si>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</si>
  <si>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</si>
  <si>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</si>
  <si>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</si>
  <si>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</si>
  <si>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</si>
  <si>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</si>
  <si>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</si>
  <si>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</si>
  <si>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</si>
  <si>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</si>
  <si>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</si>
  <si>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</si>
  <si>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</si>
  <si>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</si>
  <si>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</si>
  <si>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</si>
  <si>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</si>
  <si>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</si>
  <si>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</si>
  <si>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</si>
  <si>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</si>
  <si>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</si>
  <si>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</si>
  <si>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</si>
  <si>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</si>
  <si>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</si>
  <si>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</si>
  <si>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</si>
  <si>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</si>
  <si>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</si>
  <si>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</si>
  <si>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</si>
  <si>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</si>
  <si>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</si>
  <si>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</si>
  <si>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</si>
  <si>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</si>
  <si>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</si>
  <si>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</si>
  <si>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</si>
  <si>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</si>
  <si>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</si>
  <si>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</si>
  <si>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</si>
  <si>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</si>
  <si>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</si>
  <si>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</si>
  <si>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</si>
  <si>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</si>
  <si>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</si>
  <si>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</si>
  <si>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</si>
  <si>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</si>
  <si>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</si>
  <si>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</si>
  <si>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</si>
  <si>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</si>
  <si>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</si>
  <si>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</si>
  <si>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</si>
  <si>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</si>
  <si>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</si>
  <si>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</si>
  <si>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</si>
  <si>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</si>
  <si>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</si>
  <si>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</si>
  <si>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</si>
  <si>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</si>
  <si>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</si>
  <si>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</si>
  <si>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</si>
  <si>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</si>
  <si>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</si>
  <si>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</si>
  <si>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</si>
  <si>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</si>
  <si>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</si>
  <si>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</si>
  <si>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</si>
  <si>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</si>
  <si>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</si>
  <si>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</si>
  <si>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</si>
  <si>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</si>
  <si>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</si>
  <si>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</si>
  <si>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</si>
  <si>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</si>
  <si>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</si>
  <si>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</si>
  <si>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</si>
  <si>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</si>
  <si>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</si>
  <si>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</si>
  <si>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</si>
  <si>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</si>
  <si>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</si>
  <si>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</si>
  <si>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</si>
  <si>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</si>
  <si>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</si>
  <si>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</si>
  <si>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</si>
  <si>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</si>
  <si>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</si>
  <si>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</si>
  <si>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</si>
  <si>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</si>
  <si>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</si>
  <si>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</si>
  <si>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</si>
  <si>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</si>
  <si>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</si>
  <si>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</si>
  <si>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</si>
  <si>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</si>
  <si>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</si>
  <si>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</si>
  <si>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</si>
  <si>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</si>
  <si>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</si>
  <si>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</si>
  <si>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</si>
  <si>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</si>
  <si>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</si>
  <si>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</si>
  <si>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</si>
  <si>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</si>
  <si>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</si>
  <si>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</si>
  <si>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</si>
  <si>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</si>
  <si>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</si>
  <si>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</si>
  <si>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</si>
  <si>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</si>
  <si>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</si>
  <si>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</si>
  <si>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</si>
  <si>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</si>
  <si>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</si>
  <si>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</si>
  <si>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</si>
  <si>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</si>
  <si>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</si>
  <si>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</si>
  <si>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</si>
  <si>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</si>
  <si>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</si>
  <si>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</si>
  <si>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</si>
  <si>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</si>
  <si>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</si>
  <si>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</si>
  <si>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</si>
  <si>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</si>
  <si>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</si>
  <si>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</si>
  <si>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</si>
  <si>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</si>
  <si>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</si>
  <si>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</si>
  <si>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</si>
  <si>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</si>
  <si>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</si>
  <si>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</si>
  <si>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</si>
  <si>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</si>
  <si>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</si>
  <si>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</si>
  <si>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</si>
  <si>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</si>
  <si>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</si>
  <si>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</si>
  <si>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</si>
  <si>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</si>
  <si>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</si>
  <si>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</si>
  <si>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</si>
  <si>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</si>
  <si>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</si>
  <si>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</si>
  <si>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</si>
  <si>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</si>
  <si>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</si>
  <si>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</si>
  <si>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</si>
  <si>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</si>
  <si>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</si>
  <si>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</si>
  <si>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</si>
  <si>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</si>
  <si>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</si>
  <si>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</si>
  <si>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</si>
  <si>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</si>
  <si>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</si>
  <si>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</si>
  <si>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</si>
  <si>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</si>
  <si>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</si>
  <si>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</si>
  <si>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</si>
  <si>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</si>
  <si>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</si>
  <si>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</si>
  <si>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</si>
  <si>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</si>
  <si>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</si>
  <si>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</si>
  <si>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</si>
  <si>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</si>
  <si>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</si>
  <si>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</si>
  <si>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</si>
  <si>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</si>
  <si>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</si>
  <si>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</si>
  <si>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</si>
  <si>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</si>
  <si>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</si>
  <si>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</si>
  <si>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</si>
  <si>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</si>
  <si>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</si>
  <si>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</si>
  <si>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</si>
  <si>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</si>
  <si>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</si>
  <si>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</si>
  <si>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</si>
  <si>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</si>
  <si>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</si>
  <si>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</si>
  <si>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</si>
  <si>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</si>
  <si>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</si>
  <si>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</si>
  <si>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</si>
  <si>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</si>
  <si>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</si>
  <si>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</si>
  <si>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</si>
  <si>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</si>
  <si>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</si>
  <si>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</si>
  <si>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</si>
  <si>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</si>
  <si>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</si>
  <si>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</si>
  <si>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</si>
  <si>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</si>
  <si>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</si>
  <si>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</si>
  <si>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</si>
  <si>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</si>
  <si>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</si>
  <si>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</si>
  <si>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</si>
  <si>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</si>
  <si>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</si>
  <si>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</si>
  <si>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</si>
  <si>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</si>
  <si>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</si>
  <si>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</si>
  <si>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</si>
  <si>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</si>
  <si>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</si>
  <si>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</si>
  <si>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</si>
  <si>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</si>
  <si>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</si>
  <si>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</si>
  <si>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</si>
  <si>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</si>
  <si>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</si>
  <si>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</si>
  <si>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</si>
  <si>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</si>
  <si>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</si>
  <si>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</si>
  <si>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</si>
  <si>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</si>
  <si>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</si>
  <si>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</si>
  <si>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</si>
  <si>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</si>
  <si>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</si>
  <si>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</si>
  <si>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</si>
  <si>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</si>
  <si>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</si>
  <si>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</si>
  <si>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</si>
  <si>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</si>
  <si>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</si>
  <si>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</si>
  <si>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</si>
  <si>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</si>
  <si>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</si>
  <si>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</si>
  <si>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</si>
  <si>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</si>
  <si>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</si>
  <si>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</si>
  <si>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</si>
  <si>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</si>
  <si>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</si>
  <si>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</si>
  <si>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</si>
  <si>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</si>
  <si>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</si>
  <si>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</si>
  <si>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</si>
  <si>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</si>
  <si>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</si>
  <si>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</si>
  <si>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</si>
  <si>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</si>
  <si>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</si>
  <si>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</si>
  <si>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</si>
  <si>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</si>
  <si>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</si>
  <si>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</si>
  <si>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</si>
  <si>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</si>
  <si>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</si>
  <si>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</si>
  <si>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</si>
  <si>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</si>
  <si>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</si>
  <si>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</si>
  <si>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</si>
  <si>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</si>
  <si>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</si>
  <si>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</si>
  <si>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</si>
  <si>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</si>
  <si>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</si>
  <si>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</si>
  <si>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</si>
  <si>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</si>
  <si>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</si>
  <si>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</si>
  <si>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</si>
  <si>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</si>
  <si>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</si>
  <si>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</si>
  <si>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</si>
  <si>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</si>
  <si>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</si>
  <si>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</si>
  <si>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</si>
  <si>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</si>
  <si>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</si>
  <si>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</si>
  <si>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</si>
  <si>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</si>
  <si>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</si>
  <si>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</si>
  <si>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</si>
  <si>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</si>
  <si>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</si>
  <si>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</si>
  <si>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</si>
  <si>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</si>
  <si>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</si>
  <si>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</si>
  <si>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</si>
  <si>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</si>
  <si>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</si>
  <si>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</si>
  <si>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</si>
  <si>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</si>
  <si>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</si>
  <si>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</si>
  <si>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</si>
  <si>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</si>
  <si>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</si>
  <si>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</si>
  <si>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</si>
  <si>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</si>
  <si>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</si>
  <si>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</si>
  <si>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</si>
  <si>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</si>
  <si>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</si>
  <si>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</si>
  <si>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</si>
  <si>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</si>
  <si>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</si>
  <si>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</si>
  <si>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</si>
  <si>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</si>
  <si>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</si>
  <si>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</si>
  <si>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</si>
  <si>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</si>
  <si>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</si>
  <si>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</si>
  <si>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</si>
  <si>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</si>
  <si>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</si>
  <si>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</si>
  <si>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</si>
  <si>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</si>
  <si>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</si>
  <si>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</si>
  <si>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</si>
  <si>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</si>
  <si>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</si>
  <si>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</si>
  <si>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</si>
  <si>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</si>
  <si>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</si>
  <si>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</si>
  <si>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</si>
  <si>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</si>
  <si>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</si>
  <si>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</si>
  <si>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</si>
  <si>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</si>
  <si>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</si>
  <si>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</si>
  <si>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</si>
  <si>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</si>
  <si>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</si>
  <si>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</si>
  <si>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</si>
  <si>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</si>
  <si>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</si>
  <si>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</si>
  <si>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</si>
  <si>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</si>
  <si>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</si>
  <si>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</si>
  <si>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</si>
  <si>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</si>
  <si>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</si>
  <si>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</si>
  <si>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</si>
  <si>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</si>
  <si>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</si>
  <si>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</si>
  <si>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</si>
  <si>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</si>
  <si>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</si>
  <si>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</si>
  <si>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</si>
  <si>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</si>
  <si>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</si>
  <si>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</si>
  <si>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</si>
  <si>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</si>
  <si>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</si>
  <si>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</si>
  <si>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</si>
  <si>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</si>
  <si>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</si>
  <si>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</si>
  <si>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</si>
  <si>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</si>
  <si>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</si>
  <si>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</si>
  <si>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</si>
  <si>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</si>
  <si>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</si>
  <si>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</si>
  <si>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</si>
  <si>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</si>
  <si>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</si>
  <si>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</si>
  <si>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</si>
  <si>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</si>
  <si>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</si>
  <si>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</si>
  <si>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</si>
  <si>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</si>
  <si>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</si>
  <si>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</si>
  <si>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</si>
  <si>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</si>
  <si>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</si>
  <si>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</si>
  <si>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</si>
  <si>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</si>
  <si>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</si>
  <si>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</si>
  <si>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</si>
  <si>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</si>
  <si>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</si>
  <si>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</si>
  <si>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</si>
  <si>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</si>
  <si>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</si>
  <si>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</si>
  <si>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</si>
  <si>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</si>
  <si>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</si>
  <si>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</si>
  <si>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</si>
  <si>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</si>
  <si>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</si>
  <si>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</si>
  <si>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</si>
  <si>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</si>
  <si>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</si>
  <si>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</si>
  <si>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</si>
  <si>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</si>
  <si>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</si>
  <si>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</si>
  <si>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</si>
  <si>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</si>
  <si>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</si>
  <si>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</si>
  <si>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</si>
  <si>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</si>
  <si>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</si>
  <si>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</si>
  <si>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</si>
  <si>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</si>
  <si>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</si>
  <si>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</si>
  <si>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</si>
  <si>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</si>
  <si>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</si>
  <si>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</si>
  <si>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</si>
  <si>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</si>
  <si>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</si>
  <si>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</si>
  <si>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</si>
  <si>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</si>
  <si>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</si>
  <si>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</si>
  <si>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</si>
  <si>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</si>
  <si>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</si>
  <si>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</si>
  <si>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</si>
  <si>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</si>
  <si>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</si>
  <si>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</si>
  <si>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</si>
  <si>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</si>
  <si>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</si>
  <si>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</si>
  <si>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</si>
  <si>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</si>
  <si>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</si>
  <si>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</si>
  <si>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</si>
  <si>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</si>
  <si>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</si>
  <si>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</si>
  <si>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</si>
  <si>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</si>
  <si>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</si>
  <si>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</si>
  <si>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</si>
  <si>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</si>
  <si>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</si>
  <si>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</si>
  <si>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</si>
  <si>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</si>
  <si>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</si>
  <si>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</si>
  <si>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</si>
  <si>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</si>
  <si>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</si>
  <si>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</si>
  <si>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</si>
  <si>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</si>
  <si>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</si>
  <si>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</si>
  <si>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</si>
  <si>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</si>
  <si>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</si>
  <si>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</si>
  <si>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</si>
  <si>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</si>
  <si>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</si>
  <si>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</si>
  <si>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</si>
  <si>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</si>
  <si>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</si>
  <si>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</si>
  <si>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</si>
  <si>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</si>
  <si>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</si>
  <si>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</si>
  <si>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</si>
  <si>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</si>
  <si>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</si>
  <si>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</si>
  <si>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</si>
  <si>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</si>
  <si>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</si>
  <si>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</si>
  <si>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</si>
  <si>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</si>
  <si>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</si>
  <si>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</si>
  <si>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</si>
  <si>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</si>
  <si>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</si>
  <si>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</si>
  <si>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</si>
  <si>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</si>
  <si>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</si>
  <si>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</si>
  <si>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</si>
  <si>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</si>
  <si>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</si>
  <si>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</si>
  <si>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</si>
  <si>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</si>
  <si>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</si>
  <si>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</si>
  <si>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</si>
  <si>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</si>
  <si>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</si>
  <si>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</si>
  <si>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</si>
  <si>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</si>
  <si>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</si>
  <si>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</si>
  <si>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</si>
  <si>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</si>
  <si>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</si>
  <si>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</si>
  <si>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</si>
  <si>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</si>
  <si>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</si>
  <si>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</si>
  <si>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</si>
  <si>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</si>
  <si>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</si>
  <si>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</si>
  <si>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</si>
  <si>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</si>
  <si>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</si>
  <si>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</si>
  <si>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</si>
  <si>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</si>
  <si>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</si>
  <si>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</si>
  <si>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</si>
  <si>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</si>
  <si>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</si>
  <si>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</si>
  <si>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</si>
  <si>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</si>
  <si>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</si>
  <si>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</si>
  <si>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</si>
  <si>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</si>
  <si>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</si>
  <si>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</si>
  <si>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</si>
  <si>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</si>
  <si>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</si>
  <si>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</si>
  <si>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</si>
  <si>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</si>
  <si>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</si>
  <si>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</si>
  <si>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</si>
  <si>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</si>
  <si>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</si>
  <si>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</si>
  <si>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</si>
  <si>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</si>
  <si>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</si>
  <si>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</si>
  <si>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</si>
  <si>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</si>
  <si>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</si>
  <si>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</si>
  <si>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</si>
  <si>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</si>
  <si>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</si>
  <si>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</si>
  <si>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</si>
  <si>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</si>
  <si>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</si>
  <si>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</si>
  <si>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</si>
  <si>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</si>
  <si>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</si>
  <si>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</si>
  <si>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</si>
  <si>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</si>
  <si>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</si>
  <si>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</si>
  <si>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</si>
  <si>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</si>
  <si>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</si>
  <si>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</si>
  <si>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</si>
  <si>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</si>
  <si>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</si>
  <si>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</si>
  <si>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</si>
  <si>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</si>
  <si>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</si>
  <si>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</si>
  <si>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</si>
  <si>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</si>
  <si>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</si>
  <si>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</si>
  <si>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</si>
  <si>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</si>
  <si>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</si>
  <si>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</si>
  <si>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</si>
  <si>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</si>
  <si>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</si>
  <si>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</si>
  <si>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</si>
  <si>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</si>
  <si>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</si>
  <si>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</si>
  <si>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</si>
  <si>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</si>
  <si>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</si>
  <si>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</si>
  <si>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</si>
  <si>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</si>
  <si>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</si>
  <si>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</si>
  <si>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</si>
  <si>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</si>
  <si>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</si>
  <si>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</si>
  <si>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</si>
  <si>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</si>
  <si>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</si>
  <si>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</si>
  <si>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</si>
  <si>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</si>
  <si>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</si>
  <si>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</si>
  <si>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</si>
  <si>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</si>
  <si>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</si>
  <si>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</si>
  <si>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</si>
  <si>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</si>
  <si>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</si>
  <si>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</si>
  <si>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</si>
  <si>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</si>
  <si>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</si>
  <si>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</si>
  <si>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</si>
  <si>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</si>
  <si>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</si>
  <si>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</si>
  <si>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</si>
  <si>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</si>
  <si>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</si>
  <si>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</si>
  <si>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</si>
  <si>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</si>
  <si>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</si>
  <si>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</si>
  <si>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</si>
  <si>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</si>
  <si>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</si>
  <si>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</si>
  <si>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</si>
  <si>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</si>
  <si>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</si>
  <si>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</si>
  <si>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</si>
  <si>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</si>
  <si>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</si>
  <si>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</si>
  <si>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</si>
  <si>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</si>
  <si>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</si>
  <si>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</si>
  <si>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</si>
  <si>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</si>
  <si>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</si>
  <si>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</si>
  <si>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</si>
  <si>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</si>
  <si>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</si>
  <si>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</si>
  <si>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</si>
  <si>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</si>
  <si>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</si>
  <si>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</si>
  <si>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</si>
  <si>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</si>
  <si>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</si>
  <si>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</si>
  <si>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</si>
  <si>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</si>
  <si>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</si>
  <si>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</si>
  <si>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</si>
  <si>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</si>
  <si>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</si>
  <si>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</si>
  <si>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</si>
  <si>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</si>
  <si>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</si>
  <si>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</si>
  <si>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</si>
  <si>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</si>
  <si>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</si>
  <si>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</si>
  <si>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</si>
  <si>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</si>
  <si>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</si>
  <si>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</si>
  <si>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</si>
  <si>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</si>
  <si>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</si>
  <si>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</si>
  <si>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</si>
  <si>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</si>
  <si>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</si>
  <si>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</si>
  <si>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</si>
  <si>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</si>
  <si>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</si>
  <si>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</si>
  <si>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</si>
  <si>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</si>
  <si>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</si>
  <si>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</si>
  <si>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</si>
  <si>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</si>
  <si>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</si>
  <si>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</si>
  <si>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</si>
  <si>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</si>
  <si>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</si>
  <si>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</si>
  <si>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</si>
  <si>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</si>
  <si>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</si>
  <si>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</si>
  <si>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</si>
  <si>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</si>
  <si>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</si>
  <si>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</si>
  <si>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</si>
  <si>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</si>
  <si>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</si>
  <si>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</si>
  <si>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</si>
  <si>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</si>
  <si>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</si>
  <si>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</si>
  <si>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</si>
  <si>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</si>
  <si>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</si>
  <si>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</si>
  <si>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</si>
  <si>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</si>
  <si>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</si>
  <si>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</si>
  <si>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</si>
  <si>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</si>
  <si>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</si>
  <si>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</si>
  <si>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</si>
  <si>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</si>
  <si>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</si>
  <si>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</si>
  <si>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</si>
  <si>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</si>
  <si>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</si>
  <si>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</si>
  <si>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</si>
  <si>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</si>
  <si>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</si>
  <si>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</si>
  <si>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</si>
  <si>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</si>
  <si>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</si>
  <si>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</si>
  <si>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</si>
  <si>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</si>
  <si>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</si>
  <si>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</si>
  <si>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</si>
  <si>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</si>
  <si>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</si>
  <si>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</si>
  <si>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</si>
  <si>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</si>
  <si>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</si>
  <si>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</si>
  <si>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</si>
  <si>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</si>
  <si>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</si>
  <si>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</si>
  <si>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</si>
  <si>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</si>
  <si>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</si>
  <si>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</si>
  <si>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</si>
  <si>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</si>
  <si>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</si>
  <si>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</si>
  <si>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</si>
  <si>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</si>
  <si>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</si>
  <si>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</si>
  <si>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</si>
  <si>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</si>
  <si>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</si>
  <si>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</si>
  <si>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</si>
  <si>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</si>
  <si>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</si>
  <si>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</si>
  <si>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</si>
  <si>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</si>
  <si>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</si>
  <si>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</si>
  <si>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</si>
  <si>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</si>
  <si>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</si>
  <si>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</si>
  <si>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</si>
  <si>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</si>
  <si>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</si>
  <si>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</si>
  <si>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</si>
  <si>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</si>
  <si>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</si>
  <si>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</si>
  <si>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</si>
  <si>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</si>
  <si>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</si>
  <si>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</si>
  <si>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</si>
  <si>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</si>
  <si>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</si>
  <si>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</si>
  <si>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</si>
  <si>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</si>
  <si>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</si>
  <si>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</si>
  <si>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</si>
  <si>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</si>
  <si>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</si>
  <si>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</si>
  <si>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</si>
  <si>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</si>
  <si>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</si>
  <si>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</si>
  <si>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</si>
  <si>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</si>
  <si>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</si>
  <si>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</si>
  <si>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</si>
  <si>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</si>
  <si>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</si>
  <si>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</si>
  <si>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</si>
  <si>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</si>
  <si>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</si>
  <si>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</si>
  <si>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</si>
  <si>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</si>
  <si>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</si>
  <si>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</si>
  <si>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</si>
  <si>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</si>
  <si>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</si>
  <si>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</si>
  <si>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</si>
  <si>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</si>
  <si>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</si>
  <si>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</si>
  <si>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</si>
  <si>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</si>
  <si>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</si>
  <si>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</si>
  <si>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</si>
  <si>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</si>
  <si>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</si>
  <si>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</si>
  <si>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</si>
  <si>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</si>
  <si>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</si>
  <si>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</si>
  <si>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</si>
  <si>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</si>
  <si>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</si>
  <si>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</si>
  <si>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</si>
  <si>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</si>
  <si>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</si>
  <si>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</si>
  <si>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</si>
  <si>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</si>
  <si>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</si>
  <si>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</si>
  <si>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</si>
  <si>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</si>
  <si>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</si>
  <si>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</si>
  <si>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</si>
  <si>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</si>
  <si>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</si>
  <si>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</si>
  <si>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</si>
  <si>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</si>
  <si>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</si>
  <si>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</si>
  <si>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</si>
  <si>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</si>
  <si>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</si>
  <si>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</si>
  <si>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</si>
  <si>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</si>
  <si>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</si>
  <si>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</si>
  <si>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</si>
  <si>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</si>
  <si>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</si>
  <si>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</si>
  <si>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</si>
  <si>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</si>
  <si>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</si>
  <si>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</si>
  <si>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</si>
  <si>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</si>
  <si>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</si>
  <si>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</si>
  <si>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</si>
  <si>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</si>
  <si>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</si>
  <si>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</si>
  <si>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</si>
  <si>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</si>
  <si>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</si>
  <si>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</si>
  <si>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</si>
  <si>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</si>
  <si>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</si>
  <si>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</si>
  <si>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</si>
  <si>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</si>
  <si>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</si>
  <si>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</si>
  <si>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</si>
  <si>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</si>
  <si>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</si>
  <si>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</si>
  <si>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</si>
  <si>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</si>
  <si>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</si>
  <si>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</si>
  <si>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</si>
  <si>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</si>
  <si>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</si>
  <si>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</si>
  <si>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</si>
  <si>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</si>
  <si>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</si>
  <si>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</si>
  <si>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</si>
  <si>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</si>
  <si>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</si>
  <si>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</si>
  <si>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</si>
  <si>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</si>
  <si>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</si>
  <si>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</si>
  <si>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</si>
  <si>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</si>
  <si>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</si>
  <si>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</si>
  <si>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</si>
  <si>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</si>
  <si>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</si>
  <si>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</si>
  <si>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</si>
  <si>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</si>
  <si>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</si>
  <si>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</si>
  <si>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</si>
  <si>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</si>
  <si>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</si>
  <si>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</si>
  <si>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</si>
  <si>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</si>
  <si>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</si>
  <si>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</si>
  <si>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</si>
  <si>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</si>
  <si>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</si>
  <si>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</si>
  <si>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</si>
  <si>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</si>
  <si>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</si>
  <si>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</si>
  <si>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</si>
  <si>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</si>
  <si>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</si>
  <si>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</si>
  <si>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</si>
  <si>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</si>
  <si>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</si>
  <si>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</si>
  <si>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</si>
  <si>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</si>
  <si>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</si>
  <si>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</si>
  <si>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</si>
  <si>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</si>
  <si>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</si>
  <si>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</si>
  <si>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</si>
  <si>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</si>
  <si>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</si>
  <si>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</si>
  <si>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</si>
  <si>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</si>
  <si>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</si>
  <si>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</si>
  <si>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</si>
  <si>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</si>
  <si>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</si>
  <si>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</si>
  <si>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</si>
  <si>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</si>
  <si>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</si>
  <si>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</si>
  <si>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</si>
  <si>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</si>
  <si>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</si>
  <si>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</si>
  <si>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</si>
  <si>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</si>
  <si>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</si>
  <si>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</si>
  <si>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</si>
  <si>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</si>
  <si>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</si>
  <si>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</si>
  <si>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</si>
  <si>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</si>
  <si>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</si>
  <si>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</si>
  <si>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</si>
  <si>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</si>
  <si>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</si>
  <si>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</si>
  <si>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</si>
  <si>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</si>
  <si>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</si>
  <si>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</si>
  <si>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</si>
  <si>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</si>
  <si>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</si>
  <si>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</si>
  <si>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</si>
  <si>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</si>
  <si>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</si>
  <si>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</si>
  <si>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</si>
  <si>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</si>
  <si>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</si>
  <si>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</si>
  <si>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</si>
  <si>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</si>
  <si>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</si>
  <si>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</si>
  <si>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</si>
  <si>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</si>
  <si>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</si>
  <si>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</si>
  <si>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</si>
  <si>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</si>
  <si>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</si>
  <si>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</si>
  <si>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</si>
  <si>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</si>
  <si>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</si>
  <si>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</si>
  <si>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</si>
  <si>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</si>
  <si>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</si>
  <si>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</si>
  <si>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</si>
  <si>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</si>
  <si>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</si>
  <si>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</si>
  <si>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</si>
  <si>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</si>
  <si>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</si>
  <si>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</si>
  <si>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</si>
  <si>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</si>
  <si>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</si>
  <si>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</si>
  <si>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</si>
  <si>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</si>
  <si>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</si>
  <si>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</si>
  <si>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</si>
  <si>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</si>
  <si>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</si>
  <si>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</si>
  <si>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</si>
  <si>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</si>
  <si>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</si>
  <si>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</si>
  <si>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</si>
  <si>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</si>
  <si>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</si>
  <si>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</si>
  <si>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</si>
  <si>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</si>
  <si>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</si>
  <si>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</si>
  <si>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</si>
  <si>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</si>
  <si>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</si>
  <si>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</si>
  <si>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</si>
  <si>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</si>
  <si>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</si>
  <si>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</si>
  <si>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</si>
  <si>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</si>
  <si>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</si>
  <si>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</si>
  <si>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</si>
  <si>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</si>
  <si>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</si>
  <si>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</si>
  <si>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</si>
  <si>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</si>
  <si>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</si>
  <si>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</si>
  <si>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</si>
  <si>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</si>
  <si>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</si>
  <si>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</si>
  <si>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</si>
  <si>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</si>
  <si>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</si>
  <si>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</si>
  <si>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</si>
  <si>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</si>
  <si>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</si>
  <si>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</si>
  <si>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</si>
  <si>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</si>
  <si>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</si>
  <si>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</si>
  <si>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</si>
  <si>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</si>
  <si>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</si>
  <si>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</si>
  <si>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</si>
  <si>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</si>
  <si>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</si>
  <si>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</si>
  <si>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</si>
  <si>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</si>
  <si>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</si>
  <si>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</si>
  <si>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</si>
  <si>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</si>
  <si>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</si>
  <si>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</si>
  <si>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</si>
  <si>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</si>
  <si>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</si>
  <si>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</si>
  <si>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</si>
  <si>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</si>
  <si>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</si>
  <si>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</si>
  <si>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</si>
  <si>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</si>
  <si>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</si>
  <si>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</si>
  <si>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</si>
  <si>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</si>
  <si>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</si>
  <si>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</si>
  <si>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</si>
  <si>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</si>
  <si>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</si>
  <si>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</si>
  <si>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</si>
  <si>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</si>
  <si>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</si>
  <si>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</si>
  <si>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</si>
  <si>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</si>
  <si>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</si>
  <si>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</si>
  <si>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</si>
  <si>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</si>
  <si>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</si>
  <si>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</si>
  <si>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</si>
  <si>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</si>
  <si>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</si>
  <si>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</si>
  <si>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</si>
  <si>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</si>
  <si>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</si>
  <si>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</si>
  <si>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</si>
  <si>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</si>
  <si>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</si>
  <si>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</si>
  <si>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</si>
  <si>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</si>
  <si>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</si>
  <si>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</si>
  <si>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</si>
  <si>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</si>
  <si>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</si>
  <si>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</si>
  <si>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</si>
  <si>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</si>
  <si>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</si>
  <si>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</si>
  <si>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</si>
  <si>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</si>
  <si>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</si>
  <si>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</si>
  <si>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</si>
  <si>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</si>
  <si>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</si>
  <si>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</si>
  <si>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</si>
  <si>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</si>
  <si>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</si>
  <si>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</si>
  <si>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</si>
  <si>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</si>
  <si>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</si>
  <si>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</si>
  <si>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</si>
  <si>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</si>
  <si>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</si>
  <si>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</si>
  <si>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</si>
  <si>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</si>
  <si>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</si>
  <si>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</si>
  <si>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</si>
  <si>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</si>
  <si>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</si>
  <si>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</si>
  <si>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</si>
  <si>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</si>
  <si>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</si>
  <si>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</si>
  <si>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</si>
  <si>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</si>
  <si>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</si>
  <si>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</si>
  <si>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</si>
  <si>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</si>
  <si>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</si>
  <si>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</si>
  <si>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</si>
  <si>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</si>
  <si>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</si>
  <si>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</si>
  <si>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</si>
  <si>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</si>
  <si>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</si>
  <si>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</si>
  <si>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</si>
  <si>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</si>
  <si>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</si>
  <si>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</si>
  <si>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</si>
  <si>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</si>
  <si>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</si>
  <si>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</si>
  <si>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</si>
  <si>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</si>
  <si>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</si>
  <si>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</si>
  <si>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</si>
  <si>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</si>
  <si>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</si>
  <si>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</si>
  <si>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</si>
  <si>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</si>
  <si>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</si>
  <si>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</si>
  <si>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</si>
  <si>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</si>
  <si>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</si>
  <si>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</si>
  <si>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</si>
  <si>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</si>
  <si>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</si>
  <si>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</si>
  <si>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</si>
  <si>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</si>
  <si>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</si>
  <si>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</si>
  <si>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</si>
  <si>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</si>
  <si>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</si>
  <si>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</si>
  <si>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</si>
  <si>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</si>
  <si>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</si>
  <si>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</si>
  <si>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</si>
  <si>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</si>
  <si>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</si>
  <si>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</si>
  <si>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</si>
  <si>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</si>
  <si>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</si>
  <si>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</si>
  <si>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</si>
  <si>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</si>
  <si>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</si>
  <si>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</si>
  <si>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</si>
  <si>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</si>
  <si>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</si>
  <si>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</si>
  <si>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</si>
  <si>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</si>
  <si>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</si>
  <si>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</si>
  <si>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</si>
  <si>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</si>
  <si>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</si>
  <si>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</si>
  <si>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</si>
  <si>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</si>
  <si>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</si>
  <si>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</si>
  <si>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</si>
  <si>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</si>
  <si>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</si>
  <si>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</si>
  <si>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</si>
  <si>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</si>
  <si>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</si>
  <si>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</si>
  <si>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</si>
  <si>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</si>
  <si>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</si>
  <si>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</si>
  <si>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</si>
  <si>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</si>
  <si>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</si>
  <si>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</si>
  <si>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</si>
  <si>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</si>
  <si>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</si>
  <si>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</si>
  <si>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</si>
  <si>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</si>
  <si>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</si>
  <si>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</si>
  <si>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</si>
  <si>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</si>
  <si>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</si>
  <si>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</si>
  <si>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</si>
  <si>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</si>
  <si>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</si>
  <si>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</si>
  <si>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</si>
  <si>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</si>
  <si>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</si>
  <si>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</si>
  <si>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</si>
  <si>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</si>
  <si>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</si>
  <si>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</si>
  <si>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</si>
  <si>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</si>
  <si>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</si>
  <si>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</si>
  <si>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</si>
  <si>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</si>
  <si>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</si>
  <si>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</si>
  <si>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</si>
  <si>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</si>
  <si>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</si>
  <si>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</si>
  <si>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</si>
  <si>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</si>
  <si>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</si>
  <si>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</si>
  <si>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</si>
  <si>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</si>
  <si>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</si>
  <si>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</si>
  <si>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</si>
  <si>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</si>
  <si>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</si>
  <si>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</si>
  <si>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</si>
  <si>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</si>
  <si>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</si>
  <si>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</si>
  <si>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</si>
  <si>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</si>
  <si>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</si>
  <si>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</si>
  <si>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</si>
  <si>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</si>
  <si>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</si>
  <si>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</si>
  <si>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</si>
  <si>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</si>
  <si>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</si>
  <si>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</si>
  <si>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</si>
  <si>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</si>
  <si>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</si>
  <si>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</si>
  <si>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</si>
  <si>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</si>
  <si>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</si>
  <si>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</si>
  <si>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</si>
  <si>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</si>
  <si>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</si>
  <si>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</si>
  <si>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</si>
  <si>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</si>
  <si>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</si>
  <si>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</si>
  <si>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</si>
  <si>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</si>
  <si>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</si>
  <si>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</si>
  <si>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</si>
  <si>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</si>
  <si>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</si>
  <si>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</si>
  <si>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</si>
  <si>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</si>
  <si>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</si>
  <si>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</si>
  <si>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</si>
  <si>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</si>
  <si>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</si>
  <si>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</si>
  <si>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</si>
  <si>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</si>
  <si>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</si>
  <si>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</si>
  <si>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</si>
  <si>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</si>
  <si>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</si>
  <si>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</si>
  <si>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</si>
  <si>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</si>
  <si>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</si>
  <si>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</si>
  <si>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</si>
  <si>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</si>
  <si>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</si>
  <si>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</si>
  <si>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</si>
  <si>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</si>
  <si>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</si>
  <si>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</si>
  <si>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</si>
  <si>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</si>
  <si>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</si>
  <si>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</si>
  <si>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</si>
  <si>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</si>
  <si>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</si>
  <si>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</si>
  <si>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</si>
  <si>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</si>
  <si>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</si>
  <si>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</si>
  <si>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</si>
  <si>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</si>
  <si>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</si>
  <si>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</si>
  <si>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</si>
  <si>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</si>
  <si>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</si>
  <si>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</si>
  <si>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</si>
  <si>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</si>
  <si>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</si>
  <si>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</si>
  <si>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</si>
  <si>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</si>
  <si>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</si>
  <si>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</si>
  <si>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</si>
  <si>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</si>
  <si>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</si>
  <si>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</si>
  <si>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</si>
  <si>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</si>
  <si>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</si>
  <si>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</si>
  <si>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</si>
  <si>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</si>
  <si>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</si>
  <si>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</si>
  <si>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</si>
  <si>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</si>
  <si>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</si>
  <si>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</si>
  <si>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</si>
  <si>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</si>
  <si>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</si>
  <si>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</si>
  <si>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</si>
  <si>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</si>
  <si>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</si>
  <si>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</si>
  <si>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</si>
  <si>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</si>
  <si>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</si>
  <si>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</si>
  <si>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</si>
  <si>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</si>
  <si>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</si>
  <si>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</si>
  <si>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</si>
  <si>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</si>
  <si>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</si>
  <si>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</si>
  <si>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</si>
  <si>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</si>
  <si>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</si>
  <si>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</si>
  <si>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</si>
  <si>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</si>
  <si>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</si>
  <si>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</si>
  <si>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</si>
  <si>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</si>
  <si>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</si>
  <si>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</si>
  <si>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</si>
  <si>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</si>
  <si>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</si>
  <si>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</si>
  <si>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</si>
  <si>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</si>
  <si>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</si>
  <si>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</si>
  <si>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</si>
  <si>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</si>
  <si>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</si>
  <si>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</si>
  <si>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</si>
  <si>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</si>
  <si>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</si>
  <si>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</si>
  <si>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</si>
  <si>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</si>
  <si>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</si>
  <si>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</si>
  <si>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</si>
  <si>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</si>
  <si>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</si>
  <si>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</si>
  <si>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</si>
  <si>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</si>
  <si>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</si>
  <si>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</si>
  <si>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</si>
  <si>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</si>
  <si>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</si>
  <si>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</si>
  <si>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</si>
  <si>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</si>
  <si>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</si>
  <si>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</si>
  <si>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</si>
  <si>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</si>
  <si>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</si>
  <si>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</si>
  <si>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</si>
  <si>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</si>
  <si>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</si>
  <si>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</si>
  <si>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</si>
  <si>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</si>
  <si>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</si>
  <si>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</si>
  <si>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</si>
  <si>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</si>
  <si>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</si>
  <si>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</si>
  <si>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</si>
  <si>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</si>
  <si>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</si>
  <si>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</si>
  <si>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</si>
  <si>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</si>
  <si>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</si>
  <si>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</si>
  <si>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</si>
  <si>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</si>
  <si>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</si>
  <si>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</si>
  <si>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</si>
  <si>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</si>
  <si>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</si>
  <si>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</si>
  <si>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</si>
  <si>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</si>
  <si>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</si>
  <si>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</si>
  <si>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</si>
  <si>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</si>
  <si>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</si>
  <si>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</si>
  <si>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</si>
  <si>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</si>
  <si>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</si>
  <si>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</si>
  <si>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</si>
  <si>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</si>
  <si>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</si>
  <si>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</si>
  <si>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</si>
  <si>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</si>
  <si>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</si>
  <si>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</si>
  <si>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</si>
  <si>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</si>
  <si>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</si>
  <si>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</si>
  <si>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</si>
  <si>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</si>
  <si>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</si>
  <si>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</si>
  <si>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</si>
  <si>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</si>
  <si>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</si>
  <si>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</si>
  <si>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</si>
  <si>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</si>
  <si>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</si>
  <si>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</si>
  <si>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</si>
  <si>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</si>
  <si>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</si>
  <si>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</si>
  <si>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</si>
  <si>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</si>
  <si>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</si>
  <si>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</si>
  <si>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</si>
  <si>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</si>
  <si>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</si>
  <si>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</si>
  <si>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</si>
  <si>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</si>
  <si>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</si>
  <si>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</si>
  <si>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</si>
  <si>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</si>
  <si>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</si>
  <si>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</si>
  <si>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</si>
  <si>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</si>
  <si>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</si>
  <si>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</si>
  <si>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</si>
  <si>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</si>
  <si>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</si>
  <si>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</si>
  <si>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</si>
  <si>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</si>
  <si>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</si>
  <si>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</si>
  <si>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</si>
  <si>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</si>
  <si>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</si>
  <si>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</si>
  <si>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</si>
  <si>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</si>
  <si>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</si>
  <si>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</si>
  <si>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</si>
  <si>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</si>
  <si>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</si>
  <si>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</si>
  <si>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</si>
  <si>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</si>
  <si>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</si>
  <si>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</si>
  <si>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</si>
  <si>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</si>
  <si>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</si>
  <si>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</si>
  <si>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</si>
  <si>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</si>
  <si>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</si>
  <si>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</si>
  <si>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</si>
  <si>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</si>
  <si>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</si>
  <si>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</si>
  <si>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</si>
  <si>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</si>
  <si>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</si>
  <si>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</si>
  <si>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</si>
  <si>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</si>
  <si>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</si>
  <si>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</si>
  <si>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</si>
  <si>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</si>
  <si>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</si>
  <si>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</si>
  <si>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</si>
  <si>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</si>
  <si>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</si>
  <si>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</si>
  <si>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</si>
  <si>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</si>
  <si>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</si>
  <si>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</si>
  <si>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</si>
  <si>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</si>
  <si>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</si>
  <si>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</si>
  <si>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</si>
  <si>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</si>
  <si>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</si>
  <si>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</si>
  <si>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</si>
  <si>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</si>
  <si>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</si>
  <si>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</si>
  <si>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</si>
  <si>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</si>
  <si>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</si>
  <si>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</si>
  <si>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</si>
  <si>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</si>
  <si>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</si>
  <si>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</si>
  <si>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</si>
  <si>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</si>
  <si>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</si>
  <si>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</si>
  <si>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</si>
  <si>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</si>
  <si>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</si>
  <si>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</si>
  <si>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</si>
  <si>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</si>
  <si>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</si>
  <si>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</si>
  <si>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</si>
  <si>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</si>
  <si>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</si>
  <si>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</si>
  <si>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</si>
  <si>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</si>
  <si>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</si>
  <si>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</si>
  <si>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</si>
  <si>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</si>
  <si>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</si>
  <si>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</si>
  <si>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</si>
  <si>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</si>
  <si>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</si>
  <si>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</si>
  <si>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</si>
  <si>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</si>
  <si>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</si>
  <si>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</si>
  <si>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</si>
  <si>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</si>
  <si>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</si>
  <si>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</si>
  <si>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</si>
  <si>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</si>
  <si>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</si>
  <si>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</si>
  <si>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</si>
  <si>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</si>
  <si>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</si>
  <si>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</si>
  <si>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</si>
  <si>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</si>
  <si>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</si>
  <si>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</si>
  <si>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</si>
  <si>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</si>
  <si>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</si>
  <si>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</si>
  <si>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</si>
  <si>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</si>
  <si>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</si>
  <si>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</si>
  <si>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</si>
  <si>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</si>
  <si>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</si>
  <si>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</si>
  <si>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</si>
  <si>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</si>
  <si>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</si>
  <si>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</si>
  <si>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</si>
  <si>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</si>
  <si>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</si>
  <si>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</si>
  <si>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</si>
  <si>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</si>
  <si>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</si>
  <si>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</si>
  <si>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</si>
  <si>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</si>
  <si>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</si>
  <si>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</si>
  <si>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</si>
  <si>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</si>
  <si>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</si>
  <si>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</si>
  <si>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</si>
  <si>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</si>
  <si>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</si>
  <si>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</si>
  <si>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</si>
  <si>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</si>
  <si>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</si>
  <si>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</si>
  <si>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</si>
  <si>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</si>
  <si>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</si>
  <si>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</si>
  <si>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</si>
  <si>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</si>
  <si>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</si>
  <si>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</si>
  <si>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</si>
  <si>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</si>
  <si>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</si>
  <si>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</si>
  <si>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</si>
  <si>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</si>
  <si>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</si>
  <si>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</si>
  <si>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</si>
  <si>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</si>
  <si>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</si>
  <si>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</si>
  <si>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</si>
  <si>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</si>
  <si>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</si>
  <si>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</si>
  <si>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</si>
  <si>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</si>
  <si>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</si>
  <si>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</si>
  <si>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</si>
  <si>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</si>
  <si>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</si>
  <si>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</si>
  <si>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</si>
  <si>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</si>
  <si>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</si>
  <si>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</si>
  <si>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</si>
  <si>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</si>
  <si>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</si>
  <si>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</si>
  <si>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</si>
  <si>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</si>
  <si>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</si>
  <si>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</si>
  <si>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</si>
  <si>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</si>
  <si>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</si>
  <si>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</si>
  <si>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</si>
  <si>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</si>
  <si>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</si>
  <si>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</si>
  <si>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</si>
  <si>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</si>
  <si>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</si>
  <si>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</si>
  <si>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</si>
  <si>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</si>
  <si>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</si>
  <si>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</si>
  <si>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</si>
  <si>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</si>
  <si>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</si>
  <si>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</si>
  <si>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</si>
  <si>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</si>
  <si>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</si>
  <si>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</si>
  <si>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</si>
  <si>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</si>
  <si>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</si>
  <si>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</si>
  <si>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</si>
  <si>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</si>
  <si>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</si>
  <si>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</si>
  <si>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</si>
  <si>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</si>
  <si>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</si>
  <si>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</si>
  <si>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</si>
  <si>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</si>
  <si>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</si>
  <si>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</si>
  <si>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</si>
  <si>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</si>
  <si>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</si>
  <si>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</si>
  <si>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</si>
  <si>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</si>
  <si>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</si>
  <si>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</si>
  <si>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</si>
  <si>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</si>
  <si>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</si>
  <si>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</si>
  <si>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</si>
  <si>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</si>
  <si>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</si>
  <si>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</si>
  <si>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</si>
  <si>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</si>
  <si>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</si>
  <si>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</si>
  <si>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</si>
  <si>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</si>
  <si>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</si>
  <si>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</si>
  <si>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</si>
  <si>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</si>
  <si>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</si>
  <si>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</si>
  <si>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</si>
  <si>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</si>
  <si>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</si>
  <si>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</si>
  <si>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</si>
  <si>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</si>
  <si>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</si>
  <si>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</si>
  <si>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</si>
  <si>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</si>
  <si>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</si>
  <si>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</si>
  <si>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</si>
  <si>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</si>
  <si>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</si>
  <si>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</si>
  <si>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</si>
  <si>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</si>
  <si>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</si>
  <si>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</si>
  <si>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</si>
  <si>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</si>
  <si>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</si>
  <si>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</si>
  <si>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</si>
  <si>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</si>
  <si>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</si>
  <si>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</si>
  <si>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</si>
  <si>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</si>
  <si>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</si>
  <si>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</si>
  <si>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</si>
  <si>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</si>
  <si>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</si>
  <si>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</si>
  <si>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</si>
  <si>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</si>
  <si>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</si>
  <si>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</si>
  <si>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</si>
  <si>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</si>
  <si>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</si>
  <si>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</si>
  <si>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</si>
  <si>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</si>
  <si>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</si>
  <si>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</si>
  <si>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</si>
  <si>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</si>
  <si>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</si>
  <si>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</si>
  <si>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</si>
  <si>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</si>
  <si>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</si>
  <si>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</si>
  <si>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</si>
  <si>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</si>
  <si>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</si>
  <si>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</si>
  <si>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</si>
  <si>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</si>
  <si>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</si>
  <si>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</si>
  <si>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</si>
  <si>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</si>
  <si>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</si>
  <si>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</si>
  <si>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</si>
  <si>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</si>
  <si>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</si>
  <si>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</si>
  <si>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</si>
  <si>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</si>
  <si>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</si>
  <si>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</si>
  <si>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</si>
  <si>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</si>
  <si>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</si>
  <si>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</si>
  <si>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</si>
  <si>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</si>
  <si>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</si>
  <si>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</si>
  <si>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</si>
  <si>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</si>
  <si>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</si>
  <si>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</si>
  <si>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</si>
  <si>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</si>
  <si>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</si>
  <si>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</si>
  <si>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</si>
  <si>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</si>
  <si>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</si>
  <si>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</si>
  <si>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</si>
  <si>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</si>
  <si>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</si>
  <si>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</si>
  <si>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</si>
  <si>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</si>
  <si>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</si>
  <si>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</si>
  <si>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</si>
  <si>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</si>
  <si>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</si>
  <si>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</si>
  <si>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</si>
  <si>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</si>
  <si>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</si>
  <si>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</si>
  <si>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</si>
  <si>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</si>
  <si>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</si>
  <si>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</si>
  <si>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</si>
  <si>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</si>
  <si>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</si>
  <si>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</si>
  <si>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</si>
  <si>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</si>
  <si>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</si>
  <si>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</si>
  <si>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</si>
  <si>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</si>
  <si>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</si>
  <si>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</si>
  <si>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</si>
  <si>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</si>
  <si>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</si>
  <si>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</si>
  <si>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</si>
  <si>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</si>
  <si>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</si>
  <si>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</si>
  <si>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</si>
  <si>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</si>
  <si>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</si>
  <si>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</si>
  <si>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</si>
  <si>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</si>
  <si>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</si>
  <si>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</si>
  <si>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</si>
  <si>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</si>
  <si>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</si>
  <si>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</si>
  <si>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</si>
  <si>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</si>
  <si>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</si>
  <si>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</si>
  <si>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</si>
  <si>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</si>
  <si>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</si>
  <si>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</si>
  <si>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</si>
  <si>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</si>
  <si>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</si>
  <si>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</si>
  <si>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</si>
  <si>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</si>
  <si>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</si>
  <si>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</si>
  <si>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</si>
  <si>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</si>
  <si>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</si>
  <si>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</si>
  <si>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</si>
  <si>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</si>
  <si>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</si>
  <si>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</si>
  <si>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</si>
  <si>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</si>
  <si>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</si>
  <si>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</si>
  <si>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</si>
  <si>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</si>
  <si>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</si>
  <si>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</si>
  <si>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</si>
  <si>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</si>
  <si>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</si>
  <si>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</si>
  <si>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</si>
  <si>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</si>
  <si>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</si>
  <si>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</si>
  <si>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</si>
  <si>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</si>
  <si>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</si>
  <si>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</si>
  <si>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</si>
  <si>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</si>
  <si>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</si>
  <si>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</si>
  <si>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</si>
  <si>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</si>
  <si>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</si>
  <si>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</si>
  <si>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</si>
  <si>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</si>
  <si>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</si>
  <si>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</si>
  <si>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</si>
  <si>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</si>
  <si>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</si>
  <si>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</si>
  <si>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</si>
  <si>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</si>
  <si>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</si>
  <si>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</si>
  <si>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</si>
  <si>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</si>
  <si>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</si>
  <si>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</si>
  <si>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</si>
  <si>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</si>
  <si>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</si>
  <si>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</si>
  <si>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</si>
  <si>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</si>
  <si>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</si>
  <si>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</si>
  <si>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</si>
  <si>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</si>
  <si>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</si>
  <si>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</si>
  <si>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</si>
  <si>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</si>
  <si>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</si>
  <si>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</si>
  <si>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</si>
  <si>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</si>
  <si>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</si>
  <si>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</si>
  <si>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</si>
  <si>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</si>
  <si>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</si>
  <si>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</si>
  <si>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</si>
  <si>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</si>
  <si>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</si>
  <si>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</si>
  <si>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</si>
  <si>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</si>
  <si>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</si>
  <si>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</si>
  <si>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</si>
  <si>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</si>
  <si>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</si>
  <si>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</si>
  <si>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</si>
  <si>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</si>
  <si>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</si>
  <si>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</si>
  <si>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</si>
  <si>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</si>
  <si>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</si>
  <si>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</si>
  <si>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</si>
  <si>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</si>
  <si>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</si>
  <si>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</si>
  <si>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</si>
  <si>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</si>
  <si>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</si>
  <si>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</si>
  <si>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</si>
  <si>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</si>
  <si>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</si>
  <si>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</si>
  <si>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</si>
  <si>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</si>
  <si>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</si>
  <si>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</si>
  <si>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</si>
  <si>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</si>
  <si>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</si>
  <si>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</si>
  <si>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</si>
  <si>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</si>
  <si>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</si>
  <si>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</si>
  <si>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</si>
  <si>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</si>
  <si>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</si>
  <si>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</si>
  <si>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</si>
  <si>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</si>
  <si>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</si>
  <si>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</si>
  <si>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</si>
  <si>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</si>
  <si>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</si>
  <si>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</si>
  <si>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</si>
  <si>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</si>
  <si>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</si>
  <si>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</si>
  <si>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</si>
  <si>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</si>
  <si>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</si>
  <si>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</si>
  <si>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</si>
  <si>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</si>
  <si>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</si>
  <si>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</si>
  <si>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</si>
  <si>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</si>
  <si>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</si>
  <si>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</si>
  <si>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</si>
  <si>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</si>
  <si>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</si>
  <si>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</si>
  <si>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</si>
  <si>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</si>
  <si>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</si>
  <si>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</si>
  <si>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</si>
  <si>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</si>
  <si>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</si>
  <si>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</si>
  <si>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</si>
  <si>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</si>
  <si>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</si>
  <si>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</si>
  <si>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</si>
  <si>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</si>
  <si>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</si>
  <si>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</si>
  <si>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</si>
  <si>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</si>
  <si>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</si>
  <si>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</si>
  <si>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</si>
  <si>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</si>
  <si>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</si>
  <si>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</si>
  <si>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</si>
  <si>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</si>
  <si>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</si>
  <si>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</si>
  <si>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</si>
  <si>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</si>
  <si>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</si>
  <si>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</si>
  <si>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</si>
  <si>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</si>
  <si>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</si>
  <si>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</si>
  <si>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</si>
  <si>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</si>
  <si>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</si>
  <si>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</si>
  <si>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</si>
  <si>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</si>
  <si>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</si>
  <si>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</si>
  <si>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</si>
  <si>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</si>
  <si>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</si>
  <si>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</si>
  <si>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</si>
  <si>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</si>
  <si>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</si>
  <si>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</si>
  <si>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</si>
  <si>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</si>
  <si>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</si>
  <si>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</si>
  <si>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</si>
  <si>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</si>
  <si>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</si>
  <si>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</si>
  <si>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</si>
  <si>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</si>
  <si>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</si>
  <si>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</si>
  <si>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</si>
  <si>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</si>
  <si>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</si>
  <si>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</si>
  <si>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</si>
  <si>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</si>
  <si>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</si>
  <si>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</si>
  <si>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</si>
  <si>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</si>
  <si>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</si>
  <si>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</si>
  <si>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</si>
  <si>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</si>
  <si>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</si>
  <si>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</si>
  <si>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</si>
  <si>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</si>
  <si>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</si>
  <si>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</si>
  <si>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</si>
  <si>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</si>
  <si>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</si>
  <si>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</si>
  <si>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</si>
  <si>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</si>
  <si>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</si>
  <si>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</si>
  <si>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</si>
  <si>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</si>
  <si>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</si>
  <si>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</si>
  <si>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</si>
  <si>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</si>
  <si>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</si>
  <si>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</si>
  <si>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</si>
  <si>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</si>
  <si>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</si>
  <si>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</si>
  <si>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</si>
  <si>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</si>
  <si>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</si>
  <si>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</si>
  <si>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</si>
  <si>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</si>
  <si>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</si>
  <si>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</si>
  <si>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</si>
  <si>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</si>
  <si>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</si>
  <si>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</si>
  <si>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</si>
  <si>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</si>
  <si>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</si>
  <si>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</si>
  <si>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</si>
  <si>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</si>
  <si>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</si>
  <si>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</si>
  <si>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</si>
  <si>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</si>
  <si>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</si>
  <si>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</si>
  <si>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</si>
  <si>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</si>
  <si>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</si>
  <si>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</si>
  <si>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</si>
  <si>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</si>
  <si>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</si>
  <si>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</si>
  <si>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</si>
  <si>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</si>
  <si>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</si>
  <si>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</si>
  <si>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</si>
  <si>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</si>
  <si>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</si>
  <si>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</si>
  <si>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</si>
  <si>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</si>
  <si>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</si>
  <si>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</si>
  <si>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</si>
  <si>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</si>
  <si>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</si>
  <si>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</si>
  <si>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</si>
  <si>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</si>
  <si>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</si>
  <si>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</si>
  <si>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</si>
  <si>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</si>
  <si>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</si>
  <si>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</si>
  <si>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</si>
  <si>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</si>
  <si>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</si>
  <si>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</si>
  <si>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</si>
  <si>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</si>
  <si>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</si>
  <si>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</si>
  <si>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</si>
  <si>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</si>
  <si>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</si>
  <si>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</si>
  <si>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</si>
  <si>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</si>
  <si>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</si>
  <si>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</si>
  <si>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</si>
  <si>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</si>
  <si>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</si>
  <si>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</si>
  <si>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</si>
  <si>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</si>
  <si>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</si>
  <si>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</si>
  <si>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</si>
  <si>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</si>
  <si>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</si>
  <si>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</si>
  <si>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</si>
  <si>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</si>
  <si>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</si>
  <si>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</si>
  <si>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</si>
  <si>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</si>
  <si>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</si>
  <si>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</si>
  <si>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</si>
  <si>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</si>
  <si>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</si>
  <si>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</si>
  <si>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</si>
  <si>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</si>
  <si>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</si>
  <si>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</si>
  <si>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</si>
  <si>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</si>
  <si>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</si>
  <si>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</si>
  <si>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</si>
  <si>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</si>
  <si>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</si>
  <si>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</si>
  <si>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</si>
  <si>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</si>
  <si>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</si>
  <si>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</si>
  <si>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</si>
  <si>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</si>
  <si>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</si>
  <si>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</si>
  <si>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</si>
  <si>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</si>
  <si>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</si>
  <si>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</si>
  <si>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</si>
  <si>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</si>
  <si>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</si>
  <si>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</si>
  <si>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</si>
  <si>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</si>
  <si>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</si>
  <si>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</si>
  <si>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</si>
  <si>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</si>
  <si>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</si>
  <si>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</si>
  <si>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</si>
  <si>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</si>
  <si>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</si>
  <si>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</si>
  <si>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</si>
  <si>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</si>
  <si>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</si>
  <si>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</si>
  <si>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</si>
  <si>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</si>
  <si>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</si>
  <si>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</si>
  <si>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</si>
  <si>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</si>
  <si>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</si>
  <si>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</si>
  <si>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</si>
  <si>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</si>
  <si>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</si>
  <si>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</si>
  <si>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</si>
  <si>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</si>
  <si>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</si>
  <si>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</si>
  <si>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</si>
  <si>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</si>
  <si>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</si>
  <si>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</si>
  <si>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</si>
  <si>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</si>
  <si>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</si>
  <si>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</si>
  <si>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</si>
  <si>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</si>
  <si>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</si>
  <si>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</si>
  <si>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</si>
  <si>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</si>
  <si>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</si>
  <si>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</si>
  <si>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</si>
  <si>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</si>
  <si>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</si>
  <si>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</si>
  <si>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</si>
  <si>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</si>
  <si>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</si>
  <si>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</si>
  <si>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</si>
  <si>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</si>
  <si>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</si>
  <si>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</si>
  <si>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</si>
  <si>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</si>
  <si>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</si>
  <si>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</si>
  <si>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</si>
  <si>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</si>
  <si>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</si>
  <si>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</si>
  <si>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</si>
  <si>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</si>
  <si>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</si>
  <si>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</si>
  <si>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</si>
  <si>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</si>
  <si>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</si>
  <si>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</si>
  <si>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</si>
  <si>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</si>
  <si>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</si>
  <si>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</si>
  <si>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</si>
  <si>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</si>
  <si>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</si>
  <si>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</si>
  <si>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</si>
  <si>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</si>
  <si>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</si>
  <si>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</si>
  <si>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</si>
  <si>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</si>
  <si>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</si>
  <si>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</si>
  <si>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</si>
  <si>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</si>
  <si>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</si>
  <si>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</si>
  <si>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</si>
  <si>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</si>
  <si>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</si>
  <si>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</si>
  <si>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</si>
  <si>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</si>
  <si>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</si>
  <si>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</si>
  <si>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</si>
  <si>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</si>
  <si>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</si>
  <si>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</si>
  <si>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</si>
  <si>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</si>
  <si>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</si>
  <si>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</si>
  <si>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</si>
  <si>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</si>
  <si>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</si>
  <si>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</si>
  <si>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</si>
  <si>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</si>
  <si>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</si>
  <si>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</si>
  <si>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</si>
  <si>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</si>
  <si>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</si>
  <si>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</si>
  <si>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</si>
  <si>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</si>
  <si>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</si>
  <si>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</si>
  <si>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</si>
  <si>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</si>
  <si>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</si>
  <si>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</si>
  <si>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</si>
  <si>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</si>
  <si>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</si>
  <si>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</si>
  <si>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</si>
  <si>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</si>
  <si>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</si>
  <si>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</si>
  <si>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</si>
  <si>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</si>
  <si>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</si>
  <si>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</si>
  <si>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</si>
  <si>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</si>
  <si>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</si>
  <si>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</si>
  <si>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</si>
  <si>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</si>
  <si>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</si>
  <si>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</si>
  <si>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</si>
  <si>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</si>
  <si>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</si>
  <si>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</si>
  <si>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</si>
  <si>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</si>
  <si>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</si>
  <si>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</si>
  <si>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</si>
  <si>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</si>
  <si>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</si>
  <si>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</si>
  <si>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</si>
  <si>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</si>
  <si>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</si>
  <si>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</si>
  <si>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</si>
  <si>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</si>
  <si>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</si>
  <si>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</si>
  <si>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</si>
  <si>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</si>
  <si>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</si>
  <si>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</si>
  <si>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</si>
  <si>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</si>
  <si>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</si>
  <si>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</si>
  <si>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</si>
  <si>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</si>
  <si>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</si>
  <si>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</si>
  <si>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</si>
  <si>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</si>
  <si>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</si>
  <si>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</si>
  <si>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</si>
  <si>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</si>
  <si>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</si>
  <si>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</si>
  <si>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</si>
  <si>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</si>
  <si>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</si>
  <si>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</si>
  <si>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</si>
  <si>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</si>
  <si>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</si>
  <si>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</si>
  <si>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</si>
  <si>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</si>
  <si>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</si>
  <si>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</si>
  <si>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</si>
  <si>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</si>
  <si>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</si>
  <si>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</si>
  <si>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</si>
  <si>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</si>
  <si>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</si>
  <si>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</si>
  <si>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</si>
  <si>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</si>
  <si>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</si>
  <si>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</si>
  <si>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</si>
  <si>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</si>
  <si>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</si>
  <si>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</si>
  <si>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</si>
  <si>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</si>
  <si>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</si>
  <si>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</si>
  <si>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</si>
  <si>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</si>
  <si>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</si>
  <si>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</si>
  <si>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</si>
  <si>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</si>
  <si>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</si>
  <si>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</si>
  <si>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</si>
  <si>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</si>
  <si>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</si>
  <si>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</si>
  <si>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</si>
  <si>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</si>
  <si>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</si>
  <si>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</si>
  <si>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</si>
  <si>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</si>
  <si>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</si>
  <si>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</si>
  <si>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</si>
  <si>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</si>
  <si>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</si>
  <si>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</si>
  <si>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</si>
  <si>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</si>
  <si>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</si>
  <si>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</si>
  <si>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</si>
  <si>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</si>
  <si>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</si>
  <si>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</si>
  <si>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</si>
  <si>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</si>
  <si>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</si>
  <si>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</si>
  <si>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</si>
  <si>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</si>
  <si>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</si>
  <si>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</si>
  <si>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</si>
  <si>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</si>
  <si>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</si>
  <si>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</si>
  <si>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</si>
  <si>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</si>
  <si>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</si>
  <si>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</si>
  <si>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</si>
  <si>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</si>
  <si>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</si>
  <si>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</si>
  <si>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</si>
  <si>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</si>
  <si>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</si>
  <si>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</si>
  <si>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</si>
  <si>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</si>
  <si>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</si>
  <si>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</si>
  <si>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</si>
  <si>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</si>
  <si>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</si>
  <si>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</si>
  <si>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</si>
  <si>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</si>
  <si>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</si>
  <si>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</si>
  <si>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</si>
  <si>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</si>
  <si>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</si>
  <si>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</si>
  <si>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</si>
  <si>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</si>
  <si>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</si>
  <si>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</si>
  <si>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</si>
  <si>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</si>
  <si>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</si>
  <si>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</si>
  <si>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</si>
  <si>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</si>
  <si>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</si>
  <si>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</si>
  <si>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</si>
  <si>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</si>
  <si>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</si>
  <si>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</si>
  <si>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</si>
  <si>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</si>
  <si>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</si>
  <si>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</si>
  <si>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</si>
  <si>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</si>
  <si>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</si>
  <si>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</si>
  <si>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</si>
  <si>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</si>
  <si>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</si>
  <si>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</si>
  <si>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</si>
  <si>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</si>
  <si>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</si>
  <si>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</si>
  <si>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</si>
  <si>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</si>
  <si>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</si>
  <si>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</si>
  <si>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</si>
  <si>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</si>
  <si>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</si>
  <si>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</si>
  <si>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</si>
  <si>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</si>
  <si>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</si>
  <si>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</si>
  <si>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</si>
  <si>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</si>
  <si>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</si>
  <si>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</si>
  <si>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</si>
  <si>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</si>
  <si>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</si>
  <si>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</si>
  <si>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</si>
  <si>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</si>
  <si>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</si>
  <si>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</si>
  <si>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</si>
  <si>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</si>
  <si>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</si>
  <si>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</si>
  <si>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</si>
  <si>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</si>
  <si>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</si>
  <si>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</si>
  <si>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</si>
  <si>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</si>
  <si>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</si>
  <si>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</si>
  <si>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</si>
  <si>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</si>
  <si>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</si>
  <si>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</si>
  <si>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</si>
  <si>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</si>
  <si>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</si>
  <si>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</si>
  <si>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</si>
  <si>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</si>
  <si>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</si>
  <si>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</si>
  <si>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</si>
  <si>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</si>
  <si>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</si>
  <si>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</si>
  <si>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</si>
  <si>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</si>
  <si>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</si>
  <si>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</si>
  <si>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</si>
  <si>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</si>
  <si>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</si>
  <si>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</si>
  <si>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</si>
  <si>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</si>
  <si>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</si>
  <si>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</si>
  <si>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</si>
  <si>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</si>
  <si>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</si>
  <si>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</si>
  <si>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</si>
  <si>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</si>
  <si>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</si>
  <si>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</si>
  <si>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</si>
  <si>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</si>
  <si>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</si>
  <si>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</si>
  <si>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</si>
  <si>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</si>
  <si>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</si>
  <si>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</si>
  <si>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</si>
  <si>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</si>
  <si>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</si>
  <si>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</si>
  <si>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</si>
  <si>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</si>
  <si>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</si>
  <si>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</si>
  <si>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</si>
  <si>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</si>
  <si>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</si>
  <si>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</si>
  <si>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</si>
  <si>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</si>
  <si>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</si>
  <si>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</si>
  <si>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</si>
  <si>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</si>
  <si>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</si>
  <si>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</si>
  <si>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</si>
  <si>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</si>
  <si>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</si>
  <si>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</si>
  <si>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</si>
  <si>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</si>
  <si>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</si>
  <si>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</si>
  <si>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</si>
  <si>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</si>
  <si>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</si>
  <si>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</si>
  <si>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</si>
  <si>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</si>
  <si>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</si>
  <si>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</si>
  <si>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</si>
  <si>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</si>
  <si>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</si>
  <si>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</si>
  <si>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</si>
  <si>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</si>
  <si>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</si>
  <si>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</si>
  <si>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</si>
  <si>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</si>
  <si>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</si>
  <si>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</si>
  <si>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</si>
  <si>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</si>
  <si>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</si>
  <si>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</si>
  <si>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</si>
  <si>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</si>
  <si>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</si>
  <si>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</si>
  <si>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</si>
  <si>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</si>
  <si>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</si>
  <si>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</si>
  <si>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</si>
  <si>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</si>
  <si>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</si>
  <si>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</si>
  <si>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</si>
  <si>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</si>
  <si>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</si>
  <si>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</si>
  <si>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</si>
  <si>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</si>
  <si>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</si>
  <si>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</si>
  <si>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</si>
  <si>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</si>
  <si>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</si>
  <si>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</si>
  <si>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</si>
  <si>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</si>
  <si>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</si>
  <si>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</si>
  <si>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</si>
  <si>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</si>
  <si>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</si>
  <si>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</si>
  <si>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</si>
  <si>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</si>
  <si>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</si>
  <si>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</si>
  <si>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</si>
  <si>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</si>
  <si>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</si>
  <si>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</si>
  <si>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</si>
  <si>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</si>
  <si>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</si>
  <si>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</si>
  <si>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</si>
  <si>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</si>
  <si>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</si>
  <si>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</si>
  <si>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</si>
  <si>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</si>
  <si>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</si>
  <si>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</si>
  <si>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</si>
  <si>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</si>
  <si>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</si>
  <si>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</si>
  <si>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</si>
  <si>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</si>
  <si>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</si>
  <si>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</si>
  <si>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</si>
  <si>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</si>
  <si>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</si>
  <si>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</si>
  <si>
    <t>فولاژ (از طریق توسعه صنایع و معادن غدیر</t>
  </si>
  <si>
    <t>برداشت اعتبار سارا</t>
  </si>
  <si>
    <t>واریز علی به حساب بورسی سارا</t>
  </si>
  <si>
    <t>تسفیه اعتبار سارا</t>
  </si>
  <si>
    <t>علی واریز به حساب سارا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</si>
</sst>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abSelected="1" zoomScaleNormal="100" workbookViewId="0">
      <selection activeCell="E14" sqref="E14"/>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5882</v>
      </c>
      <c r="D1" s="187" t="s">
        <v>5883</v>
      </c>
      <c r="E1" s="207" t="s">
        <v>5540</v>
      </c>
      <c r="F1" s="207" t="s">
        <v>5541</v>
      </c>
      <c r="G1" s="207" t="s">
        <v>5884</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2000</v>
      </c>
      <c r="F2" s="189">
        <f>B2*E2/$O$2</f>
        <v>30.953989</v>
      </c>
      <c r="G2" s="219">
        <v>2800</v>
      </c>
      <c r="H2" s="219">
        <f>B2*G2/$O$2</f>
        <v>43.335584599999997</v>
      </c>
      <c r="I2" s="194"/>
      <c r="J2" s="194"/>
      <c r="K2" s="194">
        <v>15500</v>
      </c>
      <c r="L2" s="194">
        <f>B2*K2/$O$2</f>
        <v>239.89341475000001</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4750</v>
      </c>
      <c r="L3" s="189">
        <f>B3*K3/$O$2</f>
        <v>350.97222222222223</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2000</v>
      </c>
      <c r="F6" s="189">
        <f t="shared" ref="F6:F14" si="2">B6*E6*$P$3/$O$2</f>
        <v>21.138551261172736</v>
      </c>
      <c r="G6" s="219">
        <f>G2</f>
        <v>2800</v>
      </c>
      <c r="H6" s="219">
        <f>B6*G6*$P$3/$O$2</f>
        <v>29.593971765641829</v>
      </c>
      <c r="I6" s="194">
        <v>0</v>
      </c>
      <c r="J6" s="194">
        <f t="shared" ref="J6:J20"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11400</v>
      </c>
      <c r="L7" s="189">
        <f t="shared" si="4"/>
        <v>59.627443663285142</v>
      </c>
      <c r="M7" s="94">
        <f t="shared" ref="M7:M14" si="6">B7*E7/$Q$2</f>
        <v>17.787988005925925</v>
      </c>
      <c r="N7" s="94">
        <f t="shared" ref="N7:N14" si="7">B7*G7/$Q$2</f>
        <v>24.724616533333332</v>
      </c>
      <c r="O7" s="94">
        <f t="shared" ref="O7:O14" si="8">B7*C7/$Q$2</f>
        <v>0.96151286518518519</v>
      </c>
      <c r="P7" s="94"/>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2720</v>
      </c>
      <c r="L8" s="189">
        <f t="shared" si="4"/>
        <v>111.88237945089216</v>
      </c>
      <c r="M8" s="94">
        <f t="shared" si="6"/>
        <v>30.35392314002469</v>
      </c>
      <c r="N8" s="94">
        <f t="shared" si="7"/>
        <v>41.048009940246914</v>
      </c>
      <c r="O8" s="94">
        <f t="shared" si="8"/>
        <v>4.5368853091851848</v>
      </c>
      <c r="P8" s="94"/>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21700</v>
      </c>
      <c r="L13" s="189">
        <f t="shared" si="4"/>
        <v>166.01395580554495</v>
      </c>
      <c r="M13" s="94">
        <f t="shared" si="6"/>
        <v>51.312299479901235</v>
      </c>
      <c r="N13" s="94">
        <f t="shared" si="7"/>
        <v>90.409298222222219</v>
      </c>
      <c r="O13" s="94">
        <f t="shared" si="8"/>
        <v>22.100050676543209</v>
      </c>
      <c r="P13" s="94" t="s">
        <v>25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7800</v>
      </c>
      <c r="L14" s="189">
        <f t="shared" si="4"/>
        <v>17.377819452760161</v>
      </c>
      <c r="M14" s="94">
        <f t="shared" si="6"/>
        <v>4.6982047919753089</v>
      </c>
      <c r="N14" s="94">
        <f t="shared" si="7"/>
        <v>5.8508154320987655</v>
      </c>
      <c r="O14" s="94">
        <f t="shared" si="8"/>
        <v>2.4573424814814815</v>
      </c>
      <c r="P14" s="94"/>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6544</v>
      </c>
      <c r="B16" s="323">
        <v>4113600000</v>
      </c>
      <c r="C16" s="187"/>
      <c r="D16" s="187"/>
      <c r="E16" s="323">
        <v>160</v>
      </c>
      <c r="F16" s="323">
        <f>B16*E16/O2</f>
        <v>9.1413333333333338</v>
      </c>
      <c r="G16" s="187"/>
      <c r="H16" s="187"/>
      <c r="I16" s="187"/>
      <c r="J16" s="187"/>
      <c r="K16" s="187"/>
      <c r="L16" s="187"/>
      <c r="P16" s="94"/>
      <c r="Q16" s="94"/>
      <c r="R16" s="94"/>
      <c r="S16" s="94" t="s">
        <v>25</v>
      </c>
      <c r="T16" s="94"/>
      <c r="U16" s="94"/>
      <c r="V16" s="94"/>
      <c r="W16" s="94"/>
    </row>
    <row r="17" spans="1:34">
      <c r="A17" s="207" t="s">
        <v>5881</v>
      </c>
      <c r="B17" s="207"/>
      <c r="C17" s="187"/>
      <c r="D17" s="187">
        <v>23</v>
      </c>
      <c r="E17" s="189"/>
      <c r="F17" s="189">
        <v>50</v>
      </c>
      <c r="G17" s="219"/>
      <c r="H17" s="219">
        <v>75</v>
      </c>
      <c r="I17" s="207"/>
      <c r="J17" s="207">
        <f t="shared" si="3"/>
        <v>0</v>
      </c>
      <c r="K17" s="97" t="s">
        <v>5416</v>
      </c>
      <c r="L17" s="207">
        <v>350</v>
      </c>
      <c r="P17" s="94"/>
      <c r="Q17" s="94"/>
      <c r="R17" s="94"/>
      <c r="S17" s="94"/>
      <c r="T17" s="94"/>
      <c r="U17" s="94"/>
      <c r="V17" s="94"/>
      <c r="W17" s="94"/>
    </row>
    <row r="18" spans="1:34">
      <c r="A18" s="207"/>
      <c r="B18" s="207"/>
      <c r="C18" s="207"/>
      <c r="D18" s="207" t="s">
        <v>25</v>
      </c>
      <c r="E18" s="207"/>
      <c r="F18" s="207">
        <f>B18*E18*$P$3/$O$2</f>
        <v>0</v>
      </c>
      <c r="G18" s="207"/>
      <c r="H18" s="207"/>
      <c r="I18" s="207"/>
      <c r="J18" s="207">
        <f t="shared" si="3"/>
        <v>0</v>
      </c>
      <c r="K18" s="97" t="s">
        <v>5623</v>
      </c>
      <c r="L18" s="207">
        <v>210</v>
      </c>
      <c r="P18" s="94"/>
      <c r="Q18" s="94"/>
      <c r="R18" s="94"/>
      <c r="S18" s="94"/>
      <c r="T18" s="94"/>
      <c r="U18" s="94"/>
      <c r="V18" s="94"/>
      <c r="W18" s="94"/>
    </row>
    <row r="19" spans="1:34">
      <c r="A19" s="207"/>
      <c r="B19" s="207"/>
      <c r="C19" s="207"/>
      <c r="D19" s="207"/>
      <c r="E19" s="207"/>
      <c r="F19" s="207">
        <f>B19*E19*$P$3/$O$2</f>
        <v>0</v>
      </c>
      <c r="G19" s="207"/>
      <c r="H19" s="207"/>
      <c r="I19" s="207"/>
      <c r="J19" s="207">
        <f t="shared" si="3"/>
        <v>0</v>
      </c>
      <c r="K19" s="97" t="s">
        <v>5417</v>
      </c>
      <c r="L19" s="207">
        <v>350</v>
      </c>
      <c r="N19" t="s">
        <v>25</v>
      </c>
    </row>
    <row r="20" spans="1:34">
      <c r="A20" s="207"/>
      <c r="B20" s="207"/>
      <c r="C20" s="207"/>
      <c r="D20" s="207"/>
      <c r="E20" s="207"/>
      <c r="F20" s="207">
        <f>B20*E20*$P$3/$O$2</f>
        <v>0</v>
      </c>
      <c r="G20" s="207"/>
      <c r="H20" s="207"/>
      <c r="I20" s="207"/>
      <c r="J20" s="207">
        <f t="shared" si="3"/>
        <v>0</v>
      </c>
      <c r="K20" s="207"/>
      <c r="L20" s="207"/>
      <c r="AF20" t="s">
        <v>25</v>
      </c>
    </row>
    <row r="21" spans="1:34">
      <c r="A21" s="207"/>
      <c r="B21" s="207"/>
      <c r="C21" s="207"/>
      <c r="D21" s="207"/>
      <c r="E21" s="207"/>
      <c r="F21" s="207"/>
      <c r="G21" s="207"/>
      <c r="H21" s="207"/>
      <c r="I21" s="207"/>
      <c r="J21" s="207"/>
      <c r="K21" s="207"/>
      <c r="L21" s="207" t="s">
        <v>4438</v>
      </c>
    </row>
    <row r="22" spans="1:34">
      <c r="A22" s="207"/>
      <c r="B22" s="207"/>
      <c r="C22" s="207"/>
      <c r="D22" s="207">
        <f>SUM(D2:D20)</f>
        <v>102.09054999874368</v>
      </c>
      <c r="E22" s="207"/>
      <c r="F22" s="207">
        <f>SUM(F2:F19)</f>
        <v>268.41789285140158</v>
      </c>
      <c r="G22" s="207"/>
      <c r="H22" s="207">
        <f>SUM(H2:H19)</f>
        <v>345.44053127445079</v>
      </c>
      <c r="I22" s="207"/>
      <c r="J22" s="207"/>
      <c r="K22" s="207"/>
      <c r="L22" s="207">
        <f>SUM(L2:L20)</f>
        <v>2764.7932840412032</v>
      </c>
    </row>
    <row r="23" spans="1:34">
      <c r="A23" s="207"/>
      <c r="B23" s="207"/>
      <c r="C23" s="207"/>
      <c r="D23" s="207" t="s">
        <v>6</v>
      </c>
      <c r="E23" s="207"/>
      <c r="F23" s="207" t="s">
        <v>6</v>
      </c>
      <c r="G23" s="207"/>
      <c r="H23" s="207" t="s">
        <v>6</v>
      </c>
      <c r="I23" s="207"/>
      <c r="J23" s="207"/>
      <c r="K23" s="207"/>
      <c r="L23" s="97"/>
    </row>
    <row r="24" spans="1:34">
      <c r="A24" s="207"/>
      <c r="B24" s="207"/>
      <c r="C24" s="207"/>
      <c r="D24" s="207"/>
      <c r="E24" s="207"/>
      <c r="F24" s="207"/>
      <c r="G24" s="207"/>
      <c r="H24" s="207"/>
      <c r="I24" s="207"/>
      <c r="K24" s="207" t="s">
        <v>5028</v>
      </c>
      <c r="L24" s="207" t="s">
        <v>5029</v>
      </c>
    </row>
    <row r="25" spans="1:34">
      <c r="A25" s="207"/>
      <c r="B25" s="207"/>
      <c r="C25" s="207"/>
      <c r="D25" s="207"/>
      <c r="E25" s="207"/>
      <c r="F25" s="207"/>
      <c r="G25" s="207"/>
      <c r="H25" s="207"/>
      <c r="I25" s="207"/>
      <c r="K25" s="207">
        <v>1166</v>
      </c>
      <c r="L25" s="207">
        <f>K25/L22</f>
        <v>0.42173134849911742</v>
      </c>
    </row>
    <row r="26" spans="1:34">
      <c r="O26" t="s">
        <v>4914</v>
      </c>
    </row>
    <row r="27" spans="1:34">
      <c r="O27" s="97" t="s">
        <v>180</v>
      </c>
      <c r="P27" s="97" t="s">
        <v>267</v>
      </c>
      <c r="Q27" s="97" t="s">
        <v>4912</v>
      </c>
      <c r="R27" s="97"/>
      <c r="S27" s="97"/>
      <c r="T27" s="97"/>
      <c r="U27" s="94"/>
      <c r="V27" s="94"/>
      <c r="W27" s="207" t="s">
        <v>6522</v>
      </c>
      <c r="X27" s="207" t="s">
        <v>25</v>
      </c>
      <c r="Y27" s="207"/>
      <c r="Z27" s="207"/>
      <c r="AA27" s="97"/>
      <c r="AB27" s="207" t="s">
        <v>6523</v>
      </c>
      <c r="AC27" s="207"/>
      <c r="AD27" s="207"/>
      <c r="AE27" s="207"/>
      <c r="AF27" s="207"/>
    </row>
    <row r="28" spans="1:34">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5092</v>
      </c>
      <c r="D29" s="94" t="s">
        <v>5098</v>
      </c>
      <c r="E29" t="s">
        <v>5099</v>
      </c>
      <c r="F29" t="s">
        <v>5101</v>
      </c>
      <c r="G29" t="s">
        <v>5102</v>
      </c>
      <c r="O29" s="97" t="s">
        <v>4911</v>
      </c>
      <c r="P29" s="18">
        <v>-500000</v>
      </c>
      <c r="Q29" s="97">
        <v>7</v>
      </c>
      <c r="R29" s="97">
        <f t="shared" ref="R29:R92" si="9">Q29+R30</f>
        <v>702</v>
      </c>
      <c r="S29" s="97">
        <f t="shared" ref="S29:S92" si="10">P29*R29</f>
        <v>-351000000</v>
      </c>
      <c r="T29" s="97"/>
      <c r="U29" s="94"/>
      <c r="V29" s="94"/>
      <c r="W29" s="207" t="s">
        <v>6493</v>
      </c>
      <c r="X29" s="18">
        <v>55000000</v>
      </c>
      <c r="Y29" s="207">
        <v>1</v>
      </c>
      <c r="Z29" s="207">
        <f>Y29+Z30</f>
        <v>12</v>
      </c>
      <c r="AA29" s="18">
        <f>X29*Z29</f>
        <v>660000000</v>
      </c>
      <c r="AB29" s="207" t="s">
        <v>6521</v>
      </c>
      <c r="AC29" s="18">
        <v>197440000</v>
      </c>
      <c r="AD29" s="207">
        <v>11</v>
      </c>
      <c r="AE29" s="18">
        <f>AC29*AD29</f>
        <v>2171840000</v>
      </c>
      <c r="AF29" s="207"/>
    </row>
    <row r="30" spans="1:34">
      <c r="C30" s="94" t="s">
        <v>5097</v>
      </c>
      <c r="D30" s="94">
        <v>1306</v>
      </c>
      <c r="E30">
        <v>0.53500000000000003</v>
      </c>
      <c r="F30">
        <f t="shared" ref="F30:F36" si="11">D30*E30*$D$41</f>
        <v>698710000</v>
      </c>
      <c r="G30">
        <f>F30*11400/1000000000</f>
        <v>7965.2939999999999</v>
      </c>
      <c r="J30" t="s">
        <v>25</v>
      </c>
      <c r="O30" s="97" t="s">
        <v>4919</v>
      </c>
      <c r="P30" s="18">
        <v>-7000000</v>
      </c>
      <c r="Q30" s="97">
        <v>1</v>
      </c>
      <c r="R30" s="97">
        <f t="shared" si="9"/>
        <v>695</v>
      </c>
      <c r="S30" s="97">
        <f t="shared" si="10"/>
        <v>-4865000000</v>
      </c>
      <c r="T30" s="97"/>
      <c r="U30" s="94"/>
      <c r="V30" s="94"/>
      <c r="W30" s="207" t="s">
        <v>6524</v>
      </c>
      <c r="X30" s="18">
        <v>50000000</v>
      </c>
      <c r="Y30" s="207">
        <v>1</v>
      </c>
      <c r="Z30" s="207">
        <f t="shared" ref="Z30:Z43" si="12">Y30+Z31</f>
        <v>11</v>
      </c>
      <c r="AA30" s="18">
        <f t="shared" ref="AA30:AA43" si="13">X30*Z30</f>
        <v>550000000</v>
      </c>
      <c r="AB30" s="207"/>
      <c r="AC30" s="18"/>
      <c r="AD30" s="207"/>
      <c r="AE30" s="207"/>
      <c r="AF30" s="207"/>
    </row>
    <row r="31" spans="1:34">
      <c r="B31" s="94"/>
      <c r="C31" s="94" t="s">
        <v>5103</v>
      </c>
      <c r="D31" s="94">
        <v>10</v>
      </c>
      <c r="E31" s="94">
        <v>0.5</v>
      </c>
      <c r="F31" s="94">
        <f t="shared" si="11"/>
        <v>5000000</v>
      </c>
      <c r="G31" s="94">
        <f t="shared" ref="G31:G36" si="14">F31*11400/1000000000</f>
        <v>57</v>
      </c>
      <c r="O31" s="97" t="s">
        <v>4922</v>
      </c>
      <c r="P31" s="18">
        <v>2000000</v>
      </c>
      <c r="Q31" s="97">
        <v>6</v>
      </c>
      <c r="R31" s="97">
        <f t="shared" si="9"/>
        <v>694</v>
      </c>
      <c r="S31" s="97">
        <f t="shared" si="10"/>
        <v>1388000000</v>
      </c>
      <c r="T31" s="97"/>
      <c r="U31" s="94"/>
      <c r="V31" s="94"/>
      <c r="W31" s="207" t="s">
        <v>6525</v>
      </c>
      <c r="X31" s="18">
        <v>50000000</v>
      </c>
      <c r="Y31" s="207">
        <v>2</v>
      </c>
      <c r="Z31" s="207">
        <f t="shared" si="12"/>
        <v>10</v>
      </c>
      <c r="AA31" s="18">
        <f t="shared" si="13"/>
        <v>500000000</v>
      </c>
      <c r="AB31" s="207"/>
      <c r="AC31" s="18"/>
      <c r="AD31" s="207"/>
      <c r="AE31" s="207"/>
      <c r="AF31" s="207"/>
      <c r="AH31" t="s">
        <v>25</v>
      </c>
    </row>
    <row r="32" spans="1:34">
      <c r="B32" s="94"/>
      <c r="C32" s="94" t="s">
        <v>5104</v>
      </c>
      <c r="D32" s="94">
        <v>492</v>
      </c>
      <c r="E32" s="94">
        <v>0.65</v>
      </c>
      <c r="F32" s="94">
        <f t="shared" si="11"/>
        <v>319800000</v>
      </c>
      <c r="G32" s="94">
        <f t="shared" si="14"/>
        <v>3645.72</v>
      </c>
      <c r="J32" t="s">
        <v>25</v>
      </c>
      <c r="L32" t="s">
        <v>25</v>
      </c>
      <c r="O32" s="97" t="s">
        <v>4936</v>
      </c>
      <c r="P32" s="18">
        <v>1000000</v>
      </c>
      <c r="Q32" s="97">
        <v>3</v>
      </c>
      <c r="R32" s="97">
        <f t="shared" si="9"/>
        <v>688</v>
      </c>
      <c r="S32" s="97">
        <f t="shared" si="10"/>
        <v>688000000</v>
      </c>
      <c r="T32" s="97"/>
      <c r="U32" s="94"/>
      <c r="V32" s="94"/>
      <c r="W32" s="207" t="s">
        <v>6501</v>
      </c>
      <c r="X32" s="18">
        <v>680000</v>
      </c>
      <c r="Y32" s="207">
        <v>1</v>
      </c>
      <c r="Z32" s="207">
        <f t="shared" si="12"/>
        <v>8</v>
      </c>
      <c r="AA32" s="18">
        <f t="shared" si="13"/>
        <v>5440000</v>
      </c>
      <c r="AB32" s="207"/>
      <c r="AC32" s="18"/>
      <c r="AD32" s="207"/>
      <c r="AE32" s="207"/>
      <c r="AF32" s="207"/>
    </row>
    <row r="33" spans="1:33">
      <c r="A33" t="s">
        <v>5816</v>
      </c>
      <c r="B33" s="94"/>
      <c r="C33" s="94" t="s">
        <v>5105</v>
      </c>
      <c r="D33" s="94">
        <v>235</v>
      </c>
      <c r="E33" s="94">
        <v>1</v>
      </c>
      <c r="F33" s="94">
        <f t="shared" si="11"/>
        <v>235000000</v>
      </c>
      <c r="G33" s="94">
        <f t="shared" si="14"/>
        <v>2679</v>
      </c>
      <c r="O33" s="97" t="s">
        <v>4943</v>
      </c>
      <c r="P33" s="18">
        <v>200000</v>
      </c>
      <c r="Q33" s="97">
        <v>3</v>
      </c>
      <c r="R33" s="97">
        <f t="shared" si="9"/>
        <v>685</v>
      </c>
      <c r="S33" s="97">
        <f t="shared" si="10"/>
        <v>137000000</v>
      </c>
      <c r="T33" s="97"/>
      <c r="U33" s="94"/>
      <c r="V33" s="94"/>
      <c r="W33" s="207" t="s">
        <v>6526</v>
      </c>
      <c r="X33" s="18">
        <v>41483</v>
      </c>
      <c r="Y33" s="207">
        <v>1</v>
      </c>
      <c r="Z33" s="207">
        <f t="shared" si="12"/>
        <v>7</v>
      </c>
      <c r="AA33" s="18">
        <f t="shared" si="13"/>
        <v>290381</v>
      </c>
      <c r="AB33" s="207"/>
      <c r="AC33" s="18"/>
      <c r="AD33" s="207"/>
      <c r="AE33" s="207"/>
      <c r="AF33" s="207"/>
      <c r="AG33" t="s">
        <v>25</v>
      </c>
    </row>
    <row r="34" spans="1:33">
      <c r="A34" s="94" t="s">
        <v>5817</v>
      </c>
      <c r="B34" s="94">
        <v>0.3</v>
      </c>
      <c r="C34" s="94" t="s">
        <v>5106</v>
      </c>
      <c r="D34" s="94">
        <v>500</v>
      </c>
      <c r="E34" s="94">
        <v>0.6</v>
      </c>
      <c r="F34" s="94">
        <f t="shared" si="11"/>
        <v>300000000</v>
      </c>
      <c r="G34" s="94">
        <f t="shared" si="14"/>
        <v>3420</v>
      </c>
      <c r="O34" s="97" t="s">
        <v>4946</v>
      </c>
      <c r="P34" s="18">
        <v>-3200000</v>
      </c>
      <c r="Q34" s="97">
        <v>6</v>
      </c>
      <c r="R34" s="97">
        <f t="shared" si="9"/>
        <v>682</v>
      </c>
      <c r="S34" s="97">
        <f t="shared" si="10"/>
        <v>-2182400000</v>
      </c>
      <c r="T34" s="97"/>
      <c r="U34" s="94"/>
      <c r="V34" s="94"/>
      <c r="W34" s="207" t="s">
        <v>6527</v>
      </c>
      <c r="X34" s="18">
        <v>40000000</v>
      </c>
      <c r="Y34" s="207">
        <v>6</v>
      </c>
      <c r="Z34" s="207">
        <f t="shared" si="12"/>
        <v>6</v>
      </c>
      <c r="AA34" s="18">
        <f t="shared" si="13"/>
        <v>240000000</v>
      </c>
      <c r="AB34" s="207"/>
      <c r="AC34" s="18"/>
      <c r="AD34" s="207"/>
      <c r="AE34" s="207"/>
      <c r="AF34" s="207"/>
    </row>
    <row r="35" spans="1:33">
      <c r="A35" s="94" t="s">
        <v>5311</v>
      </c>
      <c r="B35" s="18">
        <v>36000000000000</v>
      </c>
      <c r="C35" s="94" t="s">
        <v>5107</v>
      </c>
      <c r="D35" s="94">
        <v>903</v>
      </c>
      <c r="E35" s="94">
        <v>1</v>
      </c>
      <c r="F35" s="94">
        <f t="shared" si="11"/>
        <v>903000000</v>
      </c>
      <c r="G35" s="94">
        <f>F35*11400/1000000000</f>
        <v>10294.200000000001</v>
      </c>
      <c r="H35">
        <v>1</v>
      </c>
      <c r="O35" s="97" t="s">
        <v>4958</v>
      </c>
      <c r="P35" s="18">
        <v>6000000</v>
      </c>
      <c r="Q35" s="97">
        <v>1</v>
      </c>
      <c r="R35" s="97">
        <f t="shared" si="9"/>
        <v>676</v>
      </c>
      <c r="S35" s="97">
        <f t="shared" si="10"/>
        <v>4056000000</v>
      </c>
      <c r="T35" s="97"/>
      <c r="U35" s="94"/>
      <c r="V35" s="94"/>
      <c r="W35" s="207"/>
      <c r="X35" s="18"/>
      <c r="Y35" s="207"/>
      <c r="Z35" s="207">
        <f t="shared" si="12"/>
        <v>0</v>
      </c>
      <c r="AA35" s="18">
        <f t="shared" si="13"/>
        <v>0</v>
      </c>
      <c r="AB35" s="207"/>
      <c r="AC35" s="18"/>
      <c r="AD35" s="207"/>
      <c r="AE35" s="207"/>
      <c r="AF35" s="207"/>
    </row>
    <row r="36" spans="1:33">
      <c r="A36" s="120" t="s">
        <v>4835</v>
      </c>
      <c r="B36" s="94">
        <v>18000000000</v>
      </c>
      <c r="E36" s="94"/>
      <c r="F36" s="94">
        <f t="shared" si="11"/>
        <v>0</v>
      </c>
      <c r="G36" s="94">
        <f t="shared" si="14"/>
        <v>0</v>
      </c>
      <c r="O36" s="97" t="s">
        <v>4959</v>
      </c>
      <c r="P36" s="18">
        <v>2000000</v>
      </c>
      <c r="Q36" s="97">
        <v>3</v>
      </c>
      <c r="R36" s="97">
        <f t="shared" si="9"/>
        <v>675</v>
      </c>
      <c r="S36" s="97">
        <f t="shared" si="10"/>
        <v>1350000000</v>
      </c>
      <c r="T36" s="97"/>
      <c r="U36" s="94"/>
      <c r="V36" s="94"/>
      <c r="W36" s="207"/>
      <c r="X36" s="18"/>
      <c r="Y36" s="207"/>
      <c r="Z36" s="207">
        <f t="shared" si="12"/>
        <v>0</v>
      </c>
      <c r="AA36" s="18">
        <f t="shared" si="13"/>
        <v>0</v>
      </c>
      <c r="AB36" s="207"/>
      <c r="AC36" s="18"/>
      <c r="AD36" s="207"/>
      <c r="AE36" s="207"/>
      <c r="AF36" s="207"/>
    </row>
    <row r="37" spans="1:33">
      <c r="A37" s="120" t="s">
        <v>5818</v>
      </c>
      <c r="B37" s="18">
        <f>B34*B35/B36</f>
        <v>600</v>
      </c>
      <c r="E37" s="94"/>
      <c r="F37" s="94"/>
      <c r="G37" s="94"/>
      <c r="O37" s="97" t="s">
        <v>4966</v>
      </c>
      <c r="P37" s="18">
        <v>-50000</v>
      </c>
      <c r="Q37" s="97">
        <v>7</v>
      </c>
      <c r="R37" s="97">
        <f t="shared" si="9"/>
        <v>672</v>
      </c>
      <c r="S37" s="97">
        <f t="shared" si="10"/>
        <v>-33600000</v>
      </c>
      <c r="T37" s="97"/>
      <c r="U37" s="94"/>
      <c r="V37" s="94"/>
      <c r="W37" s="207"/>
      <c r="X37" s="18"/>
      <c r="Y37" s="207"/>
      <c r="Z37" s="207">
        <f t="shared" si="12"/>
        <v>0</v>
      </c>
      <c r="AA37" s="18">
        <f t="shared" si="13"/>
        <v>0</v>
      </c>
      <c r="AB37" s="207"/>
      <c r="AC37" s="18"/>
      <c r="AD37" s="207"/>
      <c r="AE37" s="207"/>
      <c r="AF37" s="207"/>
    </row>
    <row r="38" spans="1:33">
      <c r="A38" s="120" t="s">
        <v>5819</v>
      </c>
      <c r="B38" s="120">
        <v>872000000</v>
      </c>
      <c r="E38" s="94"/>
      <c r="F38" s="94"/>
      <c r="G38" s="94"/>
      <c r="O38" s="97" t="s">
        <v>4972</v>
      </c>
      <c r="P38" s="18">
        <v>-2480000</v>
      </c>
      <c r="Q38" s="97">
        <v>5</v>
      </c>
      <c r="R38" s="97">
        <f t="shared" si="9"/>
        <v>665</v>
      </c>
      <c r="S38" s="97">
        <f t="shared" si="10"/>
        <v>-1649200000</v>
      </c>
      <c r="T38" s="97"/>
      <c r="U38" s="94"/>
      <c r="V38" s="94"/>
      <c r="W38" s="207"/>
      <c r="X38" s="18"/>
      <c r="Y38" s="207"/>
      <c r="Z38" s="207">
        <f t="shared" si="12"/>
        <v>0</v>
      </c>
      <c r="AA38" s="18">
        <f t="shared" si="13"/>
        <v>0</v>
      </c>
      <c r="AB38" s="207"/>
      <c r="AC38" s="18"/>
      <c r="AD38" s="207"/>
      <c r="AE38" s="207"/>
      <c r="AF38" s="207"/>
    </row>
    <row r="39" spans="1:33">
      <c r="A39" s="120" t="s">
        <v>5820</v>
      </c>
      <c r="B39" s="18">
        <v>750</v>
      </c>
      <c r="E39" s="94"/>
      <c r="F39" s="94"/>
      <c r="O39" s="97" t="s">
        <v>4980</v>
      </c>
      <c r="P39" s="18">
        <v>300000</v>
      </c>
      <c r="Q39" s="97">
        <v>1</v>
      </c>
      <c r="R39" s="97">
        <f t="shared" si="9"/>
        <v>660</v>
      </c>
      <c r="S39" s="97">
        <f t="shared" si="10"/>
        <v>198000000</v>
      </c>
      <c r="T39" s="97"/>
      <c r="U39" s="94"/>
      <c r="V39" s="94"/>
      <c r="W39" s="207"/>
      <c r="X39" s="18" t="s">
        <v>25</v>
      </c>
      <c r="Y39" s="207"/>
      <c r="Z39" s="207">
        <f t="shared" si="12"/>
        <v>0</v>
      </c>
      <c r="AA39" s="18" t="e">
        <f t="shared" si="13"/>
        <v>#VALUE!</v>
      </c>
      <c r="AB39" s="207"/>
      <c r="AC39" s="18"/>
      <c r="AD39" s="207"/>
      <c r="AE39" s="207"/>
      <c r="AF39" s="207"/>
    </row>
    <row r="40" spans="1:33">
      <c r="A40" s="120" t="s">
        <v>5821</v>
      </c>
      <c r="B40" s="94">
        <f>B38*B39/B36</f>
        <v>36.333333333333336</v>
      </c>
      <c r="C40" s="94" t="s">
        <v>5093</v>
      </c>
      <c r="D40" s="94" t="s">
        <v>5094</v>
      </c>
      <c r="E40" s="94"/>
      <c r="F40" s="94"/>
      <c r="O40" s="97" t="s">
        <v>4213</v>
      </c>
      <c r="P40" s="18">
        <v>300000</v>
      </c>
      <c r="Q40" s="97">
        <v>6</v>
      </c>
      <c r="R40" s="97">
        <f t="shared" si="9"/>
        <v>659</v>
      </c>
      <c r="S40" s="97">
        <f t="shared" si="10"/>
        <v>197700000</v>
      </c>
      <c r="T40" s="97"/>
      <c r="U40" s="94"/>
      <c r="V40" s="94"/>
      <c r="W40" s="207"/>
      <c r="X40" s="18"/>
      <c r="Y40" s="207"/>
      <c r="Z40" s="207">
        <f t="shared" si="12"/>
        <v>0</v>
      </c>
      <c r="AA40" s="18">
        <f t="shared" si="13"/>
        <v>0</v>
      </c>
      <c r="AB40" s="207"/>
      <c r="AC40" s="18"/>
      <c r="AD40" s="207"/>
      <c r="AE40" s="207"/>
      <c r="AF40" s="207"/>
    </row>
    <row r="41" spans="1:33">
      <c r="A41" s="120"/>
      <c r="B41" s="120"/>
      <c r="C41" s="94" t="s">
        <v>5100</v>
      </c>
      <c r="D41" s="94">
        <v>1000000</v>
      </c>
      <c r="E41" s="94"/>
      <c r="F41" s="94"/>
      <c r="O41" s="97" t="s">
        <v>4989</v>
      </c>
      <c r="P41" s="18">
        <v>500000</v>
      </c>
      <c r="Q41" s="97">
        <v>2</v>
      </c>
      <c r="R41" s="97">
        <f t="shared" si="9"/>
        <v>653</v>
      </c>
      <c r="S41" s="97">
        <f t="shared" si="10"/>
        <v>326500000</v>
      </c>
      <c r="T41" s="97"/>
      <c r="U41" s="94"/>
      <c r="V41" s="94"/>
      <c r="W41" s="207"/>
      <c r="X41" s="18"/>
      <c r="Y41" s="207"/>
      <c r="Z41" s="207">
        <f t="shared" si="12"/>
        <v>0</v>
      </c>
      <c r="AA41" s="18">
        <f t="shared" si="13"/>
        <v>0</v>
      </c>
      <c r="AB41" s="207"/>
      <c r="AC41" s="18"/>
      <c r="AD41" s="207"/>
      <c r="AE41" s="207"/>
      <c r="AF41" s="207"/>
    </row>
    <row r="42" spans="1:33">
      <c r="A42" s="120"/>
      <c r="B42" s="18"/>
      <c r="C42" s="94" t="s">
        <v>5095</v>
      </c>
      <c r="D42" s="94" t="s">
        <v>5096</v>
      </c>
      <c r="E42" s="94"/>
      <c r="F42" s="94"/>
      <c r="O42" s="97" t="s">
        <v>4995</v>
      </c>
      <c r="P42" s="18">
        <v>100000</v>
      </c>
      <c r="Q42" s="97">
        <v>1</v>
      </c>
      <c r="R42" s="97">
        <f t="shared" si="9"/>
        <v>651</v>
      </c>
      <c r="S42" s="97">
        <f t="shared" si="10"/>
        <v>65100000</v>
      </c>
      <c r="T42" s="97"/>
      <c r="U42" s="94"/>
      <c r="V42" s="94"/>
      <c r="W42" s="207"/>
      <c r="X42" s="18" t="s">
        <v>25</v>
      </c>
      <c r="Y42" s="207"/>
      <c r="Z42" s="207">
        <f t="shared" si="12"/>
        <v>0</v>
      </c>
      <c r="AA42" s="18" t="e">
        <f t="shared" si="13"/>
        <v>#VALUE!</v>
      </c>
      <c r="AB42" s="207"/>
      <c r="AC42" s="18"/>
      <c r="AD42" s="207"/>
      <c r="AE42" s="207"/>
      <c r="AF42" s="207"/>
    </row>
    <row r="43" spans="1:33">
      <c r="A43" s="120"/>
      <c r="B43" s="94"/>
      <c r="E43" s="94"/>
      <c r="F43" s="94"/>
      <c r="O43" s="97" t="s">
        <v>4996</v>
      </c>
      <c r="P43" s="18">
        <v>-6423626</v>
      </c>
      <c r="Q43" s="97">
        <v>1</v>
      </c>
      <c r="R43" s="97">
        <f t="shared" si="9"/>
        <v>650</v>
      </c>
      <c r="S43" s="97">
        <f t="shared" si="10"/>
        <v>-4175356900</v>
      </c>
      <c r="T43" s="97"/>
      <c r="U43" s="94"/>
      <c r="V43" s="94"/>
      <c r="W43" s="207"/>
      <c r="X43" s="207"/>
      <c r="Y43" s="207"/>
      <c r="Z43" s="207">
        <f t="shared" si="12"/>
        <v>0</v>
      </c>
      <c r="AA43" s="18">
        <f t="shared" si="13"/>
        <v>0</v>
      </c>
      <c r="AB43" s="207"/>
      <c r="AC43" s="207"/>
      <c r="AD43" s="207"/>
      <c r="AE43" s="207"/>
      <c r="AF43" s="207"/>
    </row>
    <row r="44" spans="1:33">
      <c r="A44" s="94"/>
      <c r="B44" s="94"/>
      <c r="E44" s="94"/>
      <c r="F44" s="94"/>
      <c r="O44" s="97" t="s">
        <v>4999</v>
      </c>
      <c r="P44" s="18">
        <v>-4592486</v>
      </c>
      <c r="Q44" s="97">
        <v>0</v>
      </c>
      <c r="R44" s="97">
        <f t="shared" si="9"/>
        <v>649</v>
      </c>
      <c r="S44" s="97">
        <f t="shared" si="10"/>
        <v>-2980523414</v>
      </c>
      <c r="T44" s="97"/>
      <c r="U44" s="94"/>
      <c r="V44" s="94"/>
      <c r="W44" s="207"/>
      <c r="X44" s="207"/>
      <c r="Y44" s="207"/>
      <c r="Z44" s="207"/>
      <c r="AA44" s="18"/>
      <c r="AB44" s="207"/>
      <c r="AC44" s="207"/>
      <c r="AD44" s="207"/>
      <c r="AE44" s="207"/>
      <c r="AF44" s="207"/>
    </row>
    <row r="45" spans="1:33">
      <c r="A45" s="94"/>
      <c r="B45" s="94"/>
      <c r="E45" s="94"/>
      <c r="F45" s="94"/>
      <c r="O45" s="97" t="s">
        <v>4999</v>
      </c>
      <c r="P45" s="18">
        <v>4346112</v>
      </c>
      <c r="Q45" s="97">
        <v>11</v>
      </c>
      <c r="R45" s="97">
        <f t="shared" si="9"/>
        <v>649</v>
      </c>
      <c r="S45" s="97">
        <f t="shared" si="10"/>
        <v>2820626688</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9"/>
        <v>638</v>
      </c>
      <c r="S46" s="97">
        <f t="shared" si="10"/>
        <v>957000000</v>
      </c>
      <c r="T46" s="97"/>
      <c r="U46" s="94"/>
      <c r="V46" s="94"/>
      <c r="W46" s="207"/>
      <c r="X46" s="207"/>
      <c r="Y46" s="207"/>
      <c r="Z46" s="207"/>
      <c r="AA46" s="18">
        <f>SUM(AA29:AA35)</f>
        <v>1955730381</v>
      </c>
      <c r="AB46" s="207"/>
      <c r="AC46" s="207"/>
      <c r="AD46" s="207"/>
      <c r="AE46" s="207"/>
      <c r="AF46" s="207"/>
    </row>
    <row r="47" spans="1:33">
      <c r="A47" s="94"/>
      <c r="B47" s="94" t="s">
        <v>4835</v>
      </c>
      <c r="C47" s="94" t="s">
        <v>4248</v>
      </c>
      <c r="D47" s="94" t="s">
        <v>4422</v>
      </c>
      <c r="E47" s="94" t="s">
        <v>5098</v>
      </c>
      <c r="F47" s="94" t="s">
        <v>5406</v>
      </c>
      <c r="O47" s="97" t="s">
        <v>5002</v>
      </c>
      <c r="P47" s="18">
        <v>6000000</v>
      </c>
      <c r="Q47" s="97">
        <v>8</v>
      </c>
      <c r="R47" s="97">
        <f t="shared" si="9"/>
        <v>622</v>
      </c>
      <c r="S47" s="97">
        <f t="shared" si="10"/>
        <v>3732000000</v>
      </c>
      <c r="T47" s="97"/>
      <c r="U47" s="94"/>
      <c r="V47" s="94"/>
    </row>
    <row r="48" spans="1:33">
      <c r="A48" s="94" t="s">
        <v>4845</v>
      </c>
      <c r="B48" s="94">
        <v>6</v>
      </c>
      <c r="C48" s="94">
        <v>4125</v>
      </c>
      <c r="D48" s="94">
        <f>B48*C48</f>
        <v>24750</v>
      </c>
      <c r="E48" s="94">
        <v>3</v>
      </c>
      <c r="F48" s="94">
        <f>D48/E48</f>
        <v>8250</v>
      </c>
      <c r="O48" s="97" t="s">
        <v>5052</v>
      </c>
      <c r="P48" s="18">
        <v>-50000</v>
      </c>
      <c r="Q48" s="97">
        <v>3</v>
      </c>
      <c r="R48" s="97">
        <f t="shared" si="9"/>
        <v>614</v>
      </c>
      <c r="S48" s="97">
        <f t="shared" si="10"/>
        <v>-30700000</v>
      </c>
      <c r="T48" s="97"/>
      <c r="U48" s="94"/>
      <c r="V48" s="94"/>
    </row>
    <row r="49" spans="1:22">
      <c r="A49" s="94" t="s">
        <v>4508</v>
      </c>
      <c r="B49" s="94">
        <v>9</v>
      </c>
      <c r="C49" s="94">
        <v>439</v>
      </c>
      <c r="D49" s="94">
        <f>B49*C49</f>
        <v>3951</v>
      </c>
      <c r="E49" s="94">
        <v>1.073</v>
      </c>
      <c r="F49" s="94">
        <f>D49/E49</f>
        <v>3682.1994408201308</v>
      </c>
      <c r="N49" t="s">
        <v>25</v>
      </c>
      <c r="O49" s="97" t="s">
        <v>5055</v>
      </c>
      <c r="P49" s="18">
        <v>-20000</v>
      </c>
      <c r="Q49" s="97">
        <v>7</v>
      </c>
      <c r="R49" s="97">
        <f t="shared" si="9"/>
        <v>611</v>
      </c>
      <c r="S49" s="97">
        <f t="shared" si="10"/>
        <v>-12220000</v>
      </c>
      <c r="T49" s="97"/>
      <c r="U49" s="94"/>
      <c r="V49" s="94"/>
    </row>
    <row r="50" spans="1:22">
      <c r="A50" s="94"/>
      <c r="B50" s="94"/>
      <c r="E50" s="94"/>
      <c r="F50" s="94"/>
      <c r="O50" s="97" t="s">
        <v>5014</v>
      </c>
      <c r="P50" s="18">
        <v>6000000</v>
      </c>
      <c r="Q50" s="97">
        <v>1</v>
      </c>
      <c r="R50" s="97">
        <f t="shared" si="9"/>
        <v>604</v>
      </c>
      <c r="S50" s="97">
        <f t="shared" si="10"/>
        <v>3624000000</v>
      </c>
      <c r="T50" s="97"/>
      <c r="U50" s="94"/>
      <c r="V50" s="94"/>
    </row>
    <row r="51" spans="1:22">
      <c r="A51" s="94"/>
      <c r="B51" s="94"/>
      <c r="E51" s="94"/>
      <c r="F51" s="94"/>
      <c r="O51" s="97" t="s">
        <v>5071</v>
      </c>
      <c r="P51" s="18">
        <v>-2302282</v>
      </c>
      <c r="Q51" s="97">
        <v>6</v>
      </c>
      <c r="R51" s="97">
        <f t="shared" si="9"/>
        <v>603</v>
      </c>
      <c r="S51" s="97">
        <f t="shared" si="10"/>
        <v>-1388276046</v>
      </c>
      <c r="T51" s="97"/>
      <c r="U51" s="94"/>
      <c r="V51" s="94"/>
    </row>
    <row r="52" spans="1:22">
      <c r="A52" s="94"/>
      <c r="B52" s="94"/>
      <c r="E52" s="94"/>
      <c r="F52" s="94"/>
      <c r="O52" s="97" t="s">
        <v>5076</v>
      </c>
      <c r="P52" s="18">
        <v>100000</v>
      </c>
      <c r="Q52" s="97">
        <v>1</v>
      </c>
      <c r="R52" s="97">
        <f t="shared" si="9"/>
        <v>597</v>
      </c>
      <c r="S52" s="97">
        <f t="shared" si="10"/>
        <v>59700000</v>
      </c>
      <c r="T52" s="97"/>
      <c r="U52" s="94"/>
      <c r="V52" s="94"/>
    </row>
    <row r="53" spans="1:22">
      <c r="A53" s="94"/>
      <c r="B53" s="94"/>
      <c r="E53" s="94"/>
      <c r="F53" s="94"/>
      <c r="O53" s="97" t="s">
        <v>5079</v>
      </c>
      <c r="P53" s="18">
        <v>-1727718</v>
      </c>
      <c r="Q53" s="97">
        <v>2</v>
      </c>
      <c r="R53" s="97">
        <f t="shared" si="9"/>
        <v>596</v>
      </c>
      <c r="S53" s="97">
        <f t="shared" si="10"/>
        <v>-1029719928</v>
      </c>
      <c r="T53" s="97"/>
      <c r="U53" s="94"/>
      <c r="V53" s="94"/>
    </row>
    <row r="54" spans="1:22">
      <c r="A54" s="94" t="s">
        <v>5843</v>
      </c>
      <c r="B54" s="94"/>
      <c r="E54" s="94"/>
      <c r="F54" s="94"/>
      <c r="K54" t="s">
        <v>25</v>
      </c>
      <c r="M54" t="s">
        <v>25</v>
      </c>
      <c r="O54" s="97" t="s">
        <v>5083</v>
      </c>
      <c r="P54" s="18">
        <v>-1000000</v>
      </c>
      <c r="Q54" s="97">
        <v>0</v>
      </c>
      <c r="R54" s="97">
        <f t="shared" si="9"/>
        <v>594</v>
      </c>
      <c r="S54" s="97">
        <f t="shared" si="10"/>
        <v>-594000000</v>
      </c>
      <c r="T54" s="97"/>
      <c r="U54" s="94"/>
      <c r="V54" s="94"/>
    </row>
    <row r="55" spans="1:22">
      <c r="A55" s="94" t="s">
        <v>5835</v>
      </c>
      <c r="B55" s="94"/>
      <c r="E55" s="94"/>
      <c r="F55" s="94"/>
      <c r="M55" t="s">
        <v>25</v>
      </c>
      <c r="O55" s="97" t="s">
        <v>5083</v>
      </c>
      <c r="P55" s="18">
        <v>-439200</v>
      </c>
      <c r="Q55" s="97">
        <v>1</v>
      </c>
      <c r="R55" s="97">
        <f t="shared" si="9"/>
        <v>594</v>
      </c>
      <c r="S55" s="97">
        <f t="shared" si="10"/>
        <v>-260884800</v>
      </c>
      <c r="T55" s="97"/>
      <c r="U55" s="94"/>
      <c r="V55" s="94"/>
    </row>
    <row r="56" spans="1:22">
      <c r="A56" s="94" t="s">
        <v>5836</v>
      </c>
      <c r="B56" s="94"/>
      <c r="E56" s="94"/>
      <c r="F56" s="94"/>
      <c r="O56" s="97" t="s">
        <v>5086</v>
      </c>
      <c r="P56" s="18">
        <v>-3631879</v>
      </c>
      <c r="Q56" s="97">
        <v>3</v>
      </c>
      <c r="R56" s="97">
        <f t="shared" si="9"/>
        <v>593</v>
      </c>
      <c r="S56" s="97">
        <f t="shared" si="10"/>
        <v>-2153704247</v>
      </c>
      <c r="T56" s="97"/>
      <c r="U56" s="94"/>
      <c r="V56" s="94"/>
    </row>
    <row r="57" spans="1:22">
      <c r="A57" t="s">
        <v>5844</v>
      </c>
      <c r="B57" s="94"/>
      <c r="E57" s="94"/>
      <c r="F57" s="94"/>
      <c r="O57" s="97" t="s">
        <v>5111</v>
      </c>
      <c r="P57" s="18">
        <v>-2428921</v>
      </c>
      <c r="Q57" s="97">
        <v>9</v>
      </c>
      <c r="R57" s="97">
        <f t="shared" si="9"/>
        <v>590</v>
      </c>
      <c r="S57" s="97">
        <f t="shared" si="10"/>
        <v>-1433063390</v>
      </c>
      <c r="T57" s="97"/>
      <c r="U57" s="94"/>
      <c r="V57" s="94"/>
    </row>
    <row r="58" spans="1:22">
      <c r="A58" t="s">
        <v>5511</v>
      </c>
      <c r="B58" s="94"/>
      <c r="E58" s="94"/>
      <c r="F58" s="94"/>
      <c r="O58" s="97" t="s">
        <v>5130</v>
      </c>
      <c r="P58" s="18">
        <v>-500000</v>
      </c>
      <c r="Q58" s="97">
        <v>1</v>
      </c>
      <c r="R58" s="97">
        <f t="shared" si="9"/>
        <v>581</v>
      </c>
      <c r="S58" s="97">
        <f t="shared" si="10"/>
        <v>-290500000</v>
      </c>
      <c r="T58" s="97"/>
      <c r="U58" s="94"/>
      <c r="V58" s="94"/>
    </row>
    <row r="59" spans="1:22">
      <c r="A59" s="94" t="s">
        <v>4848</v>
      </c>
      <c r="B59" s="94"/>
      <c r="E59" s="94"/>
      <c r="F59" s="94"/>
      <c r="O59" s="97" t="s">
        <v>5131</v>
      </c>
      <c r="P59" s="18">
        <v>-2603</v>
      </c>
      <c r="Q59" s="97">
        <v>0</v>
      </c>
      <c r="R59" s="97">
        <f t="shared" si="9"/>
        <v>580</v>
      </c>
      <c r="S59" s="97">
        <f t="shared" si="10"/>
        <v>-1509740</v>
      </c>
      <c r="T59" s="97" t="s">
        <v>5132</v>
      </c>
      <c r="U59" s="94"/>
      <c r="V59" s="94"/>
    </row>
    <row r="60" spans="1:22">
      <c r="A60" s="94" t="s">
        <v>4846</v>
      </c>
      <c r="B60" s="94"/>
      <c r="E60" s="94"/>
      <c r="F60" s="94"/>
      <c r="O60" s="97" t="s">
        <v>5131</v>
      </c>
      <c r="P60" s="18">
        <v>-250000</v>
      </c>
      <c r="Q60" s="97">
        <v>7</v>
      </c>
      <c r="R60" s="97">
        <f t="shared" si="9"/>
        <v>580</v>
      </c>
      <c r="S60" s="97">
        <f t="shared" si="10"/>
        <v>-145000000</v>
      </c>
      <c r="T60" s="97"/>
      <c r="U60" s="94"/>
      <c r="V60" s="94"/>
    </row>
    <row r="61" spans="1:22">
      <c r="A61" s="94" t="s">
        <v>5838</v>
      </c>
      <c r="B61" s="94"/>
      <c r="C61" s="94" t="s">
        <v>25</v>
      </c>
      <c r="E61" s="94"/>
      <c r="F61" s="94"/>
      <c r="O61" s="97" t="s">
        <v>4256</v>
      </c>
      <c r="P61" s="18">
        <v>185749</v>
      </c>
      <c r="Q61" s="97">
        <v>5</v>
      </c>
      <c r="R61" s="97">
        <f t="shared" si="9"/>
        <v>573</v>
      </c>
      <c r="S61" s="97">
        <f t="shared" si="10"/>
        <v>106434177</v>
      </c>
      <c r="T61" s="97"/>
      <c r="U61" s="94"/>
      <c r="V61" s="94"/>
    </row>
    <row r="62" spans="1:22">
      <c r="A62" s="94" t="s">
        <v>5839</v>
      </c>
      <c r="B62" s="94"/>
      <c r="E62" s="94"/>
      <c r="F62" s="94"/>
      <c r="O62" s="97" t="s">
        <v>5145</v>
      </c>
      <c r="P62" s="18">
        <v>300000</v>
      </c>
      <c r="Q62" s="97">
        <v>3</v>
      </c>
      <c r="R62" s="97">
        <f t="shared" si="9"/>
        <v>568</v>
      </c>
      <c r="S62" s="97">
        <f t="shared" si="10"/>
        <v>170400000</v>
      </c>
      <c r="T62" s="97"/>
      <c r="U62" s="94"/>
      <c r="V62" s="94"/>
    </row>
    <row r="63" spans="1:22">
      <c r="A63" t="s">
        <v>5855</v>
      </c>
      <c r="B63" s="94"/>
      <c r="E63" s="94"/>
      <c r="F63" s="94"/>
      <c r="O63" s="97" t="s">
        <v>5151</v>
      </c>
      <c r="P63" s="18">
        <v>-50000</v>
      </c>
      <c r="Q63" s="97">
        <v>3</v>
      </c>
      <c r="R63" s="97">
        <f t="shared" si="9"/>
        <v>565</v>
      </c>
      <c r="S63" s="97">
        <f t="shared" si="10"/>
        <v>-28250000</v>
      </c>
      <c r="T63" s="97"/>
      <c r="U63" s="94"/>
      <c r="V63" s="94"/>
    </row>
    <row r="64" spans="1:22">
      <c r="A64" t="s">
        <v>4481</v>
      </c>
      <c r="B64" s="94"/>
      <c r="E64" s="94"/>
      <c r="F64" s="94"/>
      <c r="O64" s="97" t="s">
        <v>5156</v>
      </c>
      <c r="P64" s="18">
        <v>-1683146</v>
      </c>
      <c r="Q64" s="97">
        <v>10</v>
      </c>
      <c r="R64" s="97">
        <f t="shared" si="9"/>
        <v>562</v>
      </c>
      <c r="S64" s="97">
        <f t="shared" si="10"/>
        <v>-945928052</v>
      </c>
      <c r="T64" s="97"/>
      <c r="U64" s="94"/>
      <c r="V64" s="94"/>
    </row>
    <row r="65" spans="1:23">
      <c r="A65" s="94" t="s">
        <v>4508</v>
      </c>
      <c r="B65" s="94"/>
      <c r="E65" s="94"/>
      <c r="F65" s="94"/>
      <c r="O65" s="97" t="s">
        <v>5168</v>
      </c>
      <c r="P65" s="18">
        <v>700000</v>
      </c>
      <c r="Q65" s="97">
        <v>18</v>
      </c>
      <c r="R65" s="97">
        <f t="shared" si="9"/>
        <v>552</v>
      </c>
      <c r="S65" s="97">
        <f t="shared" si="10"/>
        <v>386400000</v>
      </c>
      <c r="T65" s="97"/>
      <c r="U65" s="94"/>
      <c r="V65" s="94"/>
    </row>
    <row r="66" spans="1:23">
      <c r="A66" s="94"/>
      <c r="B66" s="94"/>
      <c r="C66" s="94" t="s">
        <v>25</v>
      </c>
      <c r="E66" s="94"/>
      <c r="F66" s="94"/>
      <c r="O66" s="97" t="s">
        <v>5181</v>
      </c>
      <c r="P66" s="18">
        <v>-700000</v>
      </c>
      <c r="Q66" s="97">
        <v>46</v>
      </c>
      <c r="R66" s="97">
        <f t="shared" si="9"/>
        <v>534</v>
      </c>
      <c r="S66" s="97">
        <f t="shared" si="10"/>
        <v>-373800000</v>
      </c>
      <c r="T66" s="97"/>
    </row>
    <row r="67" spans="1:23">
      <c r="B67" s="94"/>
      <c r="E67" s="94"/>
      <c r="F67" s="94"/>
      <c r="O67" s="97" t="s">
        <v>5231</v>
      </c>
      <c r="P67" s="18">
        <v>1000000</v>
      </c>
      <c r="Q67" s="97">
        <v>4</v>
      </c>
      <c r="R67" s="97">
        <f t="shared" si="9"/>
        <v>488</v>
      </c>
      <c r="S67" s="97">
        <f t="shared" si="10"/>
        <v>488000000</v>
      </c>
      <c r="T67" s="97"/>
    </row>
    <row r="68" spans="1:23">
      <c r="A68" s="94" t="s">
        <v>5837</v>
      </c>
      <c r="B68" s="94"/>
      <c r="E68" s="94"/>
      <c r="F68" s="94"/>
      <c r="O68" s="97" t="s">
        <v>5235</v>
      </c>
      <c r="P68" s="18">
        <v>1500000</v>
      </c>
      <c r="Q68" s="97">
        <v>1</v>
      </c>
      <c r="R68" s="97">
        <f t="shared" si="9"/>
        <v>484</v>
      </c>
      <c r="S68" s="97">
        <f t="shared" si="10"/>
        <v>726000000</v>
      </c>
      <c r="T68" s="97"/>
    </row>
    <row r="69" spans="1:23">
      <c r="A69" s="94" t="s">
        <v>5280</v>
      </c>
      <c r="B69" s="94"/>
      <c r="E69" s="94"/>
      <c r="F69" s="94"/>
      <c r="O69" s="97" t="s">
        <v>5236</v>
      </c>
      <c r="P69" s="18">
        <v>-1500000</v>
      </c>
      <c r="Q69" s="97">
        <v>15</v>
      </c>
      <c r="R69" s="97">
        <f t="shared" si="9"/>
        <v>483</v>
      </c>
      <c r="S69" s="97">
        <f t="shared" si="10"/>
        <v>-724500000</v>
      </c>
      <c r="T69" s="97"/>
    </row>
    <row r="70" spans="1:23">
      <c r="A70" s="94" t="s">
        <v>5289</v>
      </c>
      <c r="B70" s="94"/>
      <c r="E70" s="94"/>
      <c r="F70" s="94"/>
      <c r="O70" s="97" t="s">
        <v>5259</v>
      </c>
      <c r="P70" s="18">
        <v>-100000</v>
      </c>
      <c r="Q70" s="97">
        <v>5</v>
      </c>
      <c r="R70" s="97">
        <f t="shared" si="9"/>
        <v>468</v>
      </c>
      <c r="S70" s="97">
        <f t="shared" si="10"/>
        <v>-46800000</v>
      </c>
      <c r="T70" s="97"/>
    </row>
    <row r="71" spans="1:23">
      <c r="A71" s="94" t="s">
        <v>5848</v>
      </c>
      <c r="B71" s="94"/>
      <c r="E71" s="94"/>
      <c r="F71" s="94"/>
      <c r="O71" s="97" t="s">
        <v>5263</v>
      </c>
      <c r="P71" s="18">
        <v>1164690</v>
      </c>
      <c r="Q71" s="97">
        <v>4</v>
      </c>
      <c r="R71" s="97">
        <f t="shared" si="9"/>
        <v>463</v>
      </c>
      <c r="S71" s="97">
        <f t="shared" si="10"/>
        <v>539251470</v>
      </c>
      <c r="T71" s="97"/>
      <c r="U71" t="s">
        <v>25</v>
      </c>
    </row>
    <row r="72" spans="1:23">
      <c r="A72" s="94" t="s">
        <v>5294</v>
      </c>
      <c r="B72" s="94"/>
      <c r="E72" s="94"/>
      <c r="F72" s="94"/>
      <c r="O72" s="97" t="s">
        <v>5272</v>
      </c>
      <c r="P72" s="18">
        <v>1000000</v>
      </c>
      <c r="Q72" s="97">
        <v>4</v>
      </c>
      <c r="R72" s="97">
        <f t="shared" si="9"/>
        <v>459</v>
      </c>
      <c r="S72" s="97">
        <f t="shared" si="10"/>
        <v>459000000</v>
      </c>
      <c r="T72" s="97"/>
    </row>
    <row r="73" spans="1:23">
      <c r="A73" s="94" t="s">
        <v>5849</v>
      </c>
      <c r="B73" s="94"/>
      <c r="E73" s="94"/>
      <c r="F73" s="94"/>
      <c r="N73" t="s">
        <v>25</v>
      </c>
      <c r="O73" s="97" t="s">
        <v>5277</v>
      </c>
      <c r="P73" s="18">
        <v>-264690</v>
      </c>
      <c r="Q73" s="97">
        <v>7</v>
      </c>
      <c r="R73" s="97">
        <f t="shared" si="9"/>
        <v>455</v>
      </c>
      <c r="S73" s="97">
        <f t="shared" si="10"/>
        <v>-120433950</v>
      </c>
      <c r="T73" s="97"/>
    </row>
    <row r="74" spans="1:23">
      <c r="A74" s="94" t="s">
        <v>5850</v>
      </c>
      <c r="B74" s="94"/>
      <c r="E74" s="94"/>
      <c r="F74" s="94"/>
      <c r="O74" s="97" t="s">
        <v>5293</v>
      </c>
      <c r="P74" s="18">
        <v>2700000</v>
      </c>
      <c r="Q74" s="97">
        <v>0</v>
      </c>
      <c r="R74" s="97">
        <f t="shared" si="9"/>
        <v>448</v>
      </c>
      <c r="S74" s="97">
        <f t="shared" si="10"/>
        <v>1209600000</v>
      </c>
      <c r="T74" s="97"/>
    </row>
    <row r="75" spans="1:23">
      <c r="A75" s="94" t="s">
        <v>5851</v>
      </c>
      <c r="B75" s="94"/>
      <c r="E75" s="94"/>
      <c r="F75" s="94"/>
      <c r="O75" s="97" t="s">
        <v>5293</v>
      </c>
      <c r="P75" s="18">
        <v>-1000000</v>
      </c>
      <c r="Q75" s="97">
        <v>1</v>
      </c>
      <c r="R75" s="97">
        <f t="shared" si="9"/>
        <v>448</v>
      </c>
      <c r="S75" s="97">
        <f t="shared" si="10"/>
        <v>-448000000</v>
      </c>
      <c r="T75" s="97" t="s">
        <v>5295</v>
      </c>
    </row>
    <row r="76" spans="1:23">
      <c r="A76" s="94" t="s">
        <v>4483</v>
      </c>
      <c r="B76" s="94"/>
      <c r="E76" s="94"/>
      <c r="F76" s="94"/>
      <c r="O76" s="97" t="s">
        <v>5297</v>
      </c>
      <c r="P76" s="18">
        <v>-75616</v>
      </c>
      <c r="Q76" s="97">
        <v>2</v>
      </c>
      <c r="R76" s="97">
        <f t="shared" si="9"/>
        <v>447</v>
      </c>
      <c r="S76" s="97">
        <f t="shared" si="10"/>
        <v>-33800352</v>
      </c>
      <c r="T76" s="97" t="s">
        <v>5298</v>
      </c>
    </row>
    <row r="77" spans="1:23">
      <c r="A77" s="94" t="s">
        <v>4559</v>
      </c>
      <c r="B77" s="94" t="s">
        <v>25</v>
      </c>
      <c r="E77" s="94"/>
      <c r="F77" s="94"/>
      <c r="O77" s="97" t="s">
        <v>963</v>
      </c>
      <c r="P77" s="18">
        <v>-2424384</v>
      </c>
      <c r="Q77" s="97">
        <v>2</v>
      </c>
      <c r="R77" s="97">
        <f t="shared" si="9"/>
        <v>445</v>
      </c>
      <c r="S77" s="97">
        <f t="shared" si="10"/>
        <v>-1078850880</v>
      </c>
      <c r="T77" s="97"/>
      <c r="W77" t="s">
        <v>25</v>
      </c>
    </row>
    <row r="78" spans="1:23">
      <c r="A78" s="94" t="s">
        <v>4719</v>
      </c>
      <c r="B78" s="94"/>
      <c r="E78" s="94"/>
      <c r="F78" s="94"/>
      <c r="M78" t="s">
        <v>25</v>
      </c>
      <c r="O78" s="97" t="s">
        <v>5312</v>
      </c>
      <c r="P78" s="18">
        <v>-2000000</v>
      </c>
      <c r="Q78" s="97">
        <v>6</v>
      </c>
      <c r="R78" s="97">
        <f t="shared" si="9"/>
        <v>443</v>
      </c>
      <c r="S78" s="97">
        <f t="shared" si="10"/>
        <v>-886000000</v>
      </c>
      <c r="T78" s="97"/>
    </row>
    <row r="79" spans="1:23">
      <c r="A79" s="94" t="s">
        <v>4661</v>
      </c>
      <c r="B79" s="94"/>
      <c r="E79" s="94"/>
      <c r="F79" s="94"/>
      <c r="O79" s="97" t="s">
        <v>5345</v>
      </c>
      <c r="P79" s="18">
        <v>2500000</v>
      </c>
      <c r="Q79" s="97">
        <v>1</v>
      </c>
      <c r="R79" s="97">
        <f t="shared" si="9"/>
        <v>437</v>
      </c>
      <c r="S79" s="97">
        <f t="shared" si="10"/>
        <v>1092500000</v>
      </c>
      <c r="T79" s="97"/>
    </row>
    <row r="80" spans="1:23">
      <c r="A80" s="94"/>
      <c r="B80" s="94"/>
      <c r="E80" s="94"/>
      <c r="F80" s="94"/>
      <c r="L80" s="112"/>
      <c r="O80" s="97" t="s">
        <v>5348</v>
      </c>
      <c r="P80" s="18">
        <v>3000000</v>
      </c>
      <c r="Q80" s="97">
        <v>3</v>
      </c>
      <c r="R80" s="97">
        <f t="shared" si="9"/>
        <v>436</v>
      </c>
      <c r="S80" s="97">
        <f t="shared" si="10"/>
        <v>1308000000</v>
      </c>
      <c r="T80" s="97"/>
    </row>
    <row r="81" spans="1:28">
      <c r="A81" s="94"/>
      <c r="B81" s="94"/>
      <c r="E81" s="94"/>
      <c r="F81" s="94"/>
      <c r="O81" s="97" t="s">
        <v>5354</v>
      </c>
      <c r="P81" s="18">
        <v>-300000</v>
      </c>
      <c r="Q81" s="97">
        <v>5</v>
      </c>
      <c r="R81" s="97">
        <f t="shared" si="9"/>
        <v>433</v>
      </c>
      <c r="S81" s="97">
        <f t="shared" si="10"/>
        <v>-129900000</v>
      </c>
      <c r="T81" s="97"/>
    </row>
    <row r="82" spans="1:28">
      <c r="B82" s="94"/>
      <c r="E82" s="94"/>
      <c r="F82" s="94"/>
      <c r="O82" s="97" t="s">
        <v>5365</v>
      </c>
      <c r="P82" s="18">
        <v>500000</v>
      </c>
      <c r="Q82" s="97">
        <v>1</v>
      </c>
      <c r="R82" s="97">
        <f t="shared" si="9"/>
        <v>428</v>
      </c>
      <c r="S82" s="97">
        <f t="shared" si="10"/>
        <v>214000000</v>
      </c>
      <c r="T82" s="97"/>
    </row>
    <row r="83" spans="1:28">
      <c r="A83" s="94" t="s">
        <v>5842</v>
      </c>
      <c r="E83" s="94"/>
      <c r="F83" s="94"/>
      <c r="O83" s="97" t="s">
        <v>5367</v>
      </c>
      <c r="P83" s="18">
        <v>1000000</v>
      </c>
      <c r="Q83" s="97">
        <v>5</v>
      </c>
      <c r="R83" s="97">
        <f t="shared" si="9"/>
        <v>427</v>
      </c>
      <c r="S83" s="97">
        <f t="shared" si="10"/>
        <v>427000000</v>
      </c>
      <c r="T83" s="97"/>
    </row>
    <row r="84" spans="1:28">
      <c r="A84" s="94" t="s">
        <v>5840</v>
      </c>
      <c r="E84" s="94"/>
      <c r="F84" s="94"/>
      <c r="O84" s="97" t="s">
        <v>5372</v>
      </c>
      <c r="P84" s="18">
        <v>-2700000</v>
      </c>
      <c r="Q84" s="97">
        <v>1</v>
      </c>
      <c r="R84" s="97">
        <f t="shared" si="9"/>
        <v>422</v>
      </c>
      <c r="S84" s="97">
        <f t="shared" si="10"/>
        <v>-1139400000</v>
      </c>
      <c r="T84" s="97"/>
    </row>
    <row r="85" spans="1:28">
      <c r="A85" s="94" t="s">
        <v>5841</v>
      </c>
      <c r="E85" s="94"/>
      <c r="F85" s="94"/>
      <c r="M85" t="s">
        <v>25</v>
      </c>
      <c r="O85" s="97" t="s">
        <v>5373</v>
      </c>
      <c r="P85" s="18">
        <v>-3600000</v>
      </c>
      <c r="Q85" s="97">
        <v>1</v>
      </c>
      <c r="R85" s="97">
        <f t="shared" si="9"/>
        <v>421</v>
      </c>
      <c r="S85" s="97">
        <f t="shared" si="10"/>
        <v>-1515600000</v>
      </c>
      <c r="T85" s="97"/>
    </row>
    <row r="86" spans="1:28">
      <c r="A86" s="94" t="s">
        <v>5852</v>
      </c>
      <c r="E86" s="94"/>
      <c r="F86" s="94"/>
      <c r="O86" s="97" t="s">
        <v>987</v>
      </c>
      <c r="P86" s="18">
        <v>-400000</v>
      </c>
      <c r="Q86" s="97">
        <v>17</v>
      </c>
      <c r="R86" s="97">
        <f t="shared" si="9"/>
        <v>420</v>
      </c>
      <c r="S86" s="97">
        <f t="shared" si="10"/>
        <v>-168000000</v>
      </c>
      <c r="T86" s="97"/>
    </row>
    <row r="87" spans="1:28">
      <c r="A87" s="94" t="s">
        <v>5853</v>
      </c>
      <c r="E87" s="94"/>
      <c r="F87" s="94"/>
      <c r="O87" s="97" t="s">
        <v>5393</v>
      </c>
      <c r="P87" s="18">
        <v>1000000</v>
      </c>
      <c r="Q87" s="97">
        <v>20</v>
      </c>
      <c r="R87" s="97">
        <f t="shared" si="9"/>
        <v>403</v>
      </c>
      <c r="S87" s="97">
        <f t="shared" si="10"/>
        <v>403000000</v>
      </c>
      <c r="T87" s="97"/>
    </row>
    <row r="88" spans="1:28">
      <c r="A88" s="94" t="s">
        <v>5854</v>
      </c>
      <c r="O88" s="97" t="s">
        <v>5413</v>
      </c>
      <c r="P88" s="18">
        <v>-1000000</v>
      </c>
      <c r="Q88" s="97">
        <v>25</v>
      </c>
      <c r="R88" s="97">
        <f t="shared" si="9"/>
        <v>383</v>
      </c>
      <c r="S88" s="97">
        <f t="shared" si="10"/>
        <v>-383000000</v>
      </c>
      <c r="T88" s="97"/>
    </row>
    <row r="89" spans="1:28">
      <c r="A89" s="94"/>
      <c r="O89" s="97" t="s">
        <v>5443</v>
      </c>
      <c r="P89" s="18">
        <v>300000</v>
      </c>
      <c r="Q89" s="97">
        <v>3</v>
      </c>
      <c r="R89" s="97">
        <f t="shared" si="9"/>
        <v>358</v>
      </c>
      <c r="S89" s="97">
        <f t="shared" si="10"/>
        <v>107400000</v>
      </c>
      <c r="T89" s="97"/>
    </row>
    <row r="90" spans="1:28">
      <c r="A90" s="94" t="s">
        <v>5845</v>
      </c>
      <c r="O90" s="97" t="s">
        <v>5448</v>
      </c>
      <c r="P90" s="18">
        <v>-300000</v>
      </c>
      <c r="Q90" s="97">
        <v>9</v>
      </c>
      <c r="R90" s="97">
        <f t="shared" si="9"/>
        <v>355</v>
      </c>
      <c r="S90" s="97">
        <f t="shared" si="10"/>
        <v>-106500000</v>
      </c>
      <c r="T90" s="97"/>
    </row>
    <row r="91" spans="1:28">
      <c r="A91" t="s">
        <v>5846</v>
      </c>
      <c r="O91" s="97" t="s">
        <v>5467</v>
      </c>
      <c r="P91" s="18">
        <v>1000000</v>
      </c>
      <c r="Q91" s="97">
        <v>24</v>
      </c>
      <c r="R91" s="97">
        <f t="shared" si="9"/>
        <v>346</v>
      </c>
      <c r="S91" s="97">
        <f t="shared" si="10"/>
        <v>346000000</v>
      </c>
      <c r="T91" s="97"/>
      <c r="W91" t="s">
        <v>25</v>
      </c>
    </row>
    <row r="92" spans="1:28">
      <c r="A92" s="94" t="s">
        <v>5847</v>
      </c>
      <c r="M92" t="s">
        <v>25</v>
      </c>
      <c r="O92" s="97" t="s">
        <v>5506</v>
      </c>
      <c r="P92" s="18">
        <v>-1380100</v>
      </c>
      <c r="Q92" s="97">
        <v>11</v>
      </c>
      <c r="R92" s="97">
        <f t="shared" si="9"/>
        <v>322</v>
      </c>
      <c r="S92" s="97">
        <f t="shared" si="10"/>
        <v>-444392200</v>
      </c>
      <c r="T92" s="97"/>
    </row>
    <row r="93" spans="1:28">
      <c r="A93" s="94"/>
      <c r="O93" s="97" t="s">
        <v>5520</v>
      </c>
      <c r="P93" s="18">
        <v>1280015</v>
      </c>
      <c r="Q93" s="97">
        <v>0</v>
      </c>
      <c r="R93" s="97">
        <f t="shared" ref="R93:R141" si="15">Q93+R94</f>
        <v>311</v>
      </c>
      <c r="S93" s="97">
        <f t="shared" ref="S93:S135" si="16">P93*R93</f>
        <v>398084665</v>
      </c>
      <c r="T93" s="97"/>
    </row>
    <row r="94" spans="1:28">
      <c r="O94" s="97" t="s">
        <v>5520</v>
      </c>
      <c r="P94" s="18">
        <v>300000</v>
      </c>
      <c r="Q94" s="97">
        <v>7</v>
      </c>
      <c r="R94" s="97">
        <f t="shared" si="15"/>
        <v>311</v>
      </c>
      <c r="S94" s="97">
        <f t="shared" si="16"/>
        <v>93300000</v>
      </c>
      <c r="T94" s="97"/>
    </row>
    <row r="95" spans="1:28">
      <c r="A95" s="94"/>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O97" s="97" t="s">
        <v>5567</v>
      </c>
      <c r="P97" s="18">
        <v>-3500000</v>
      </c>
      <c r="Q97" s="97">
        <v>6</v>
      </c>
      <c r="R97" s="97">
        <f t="shared" si="15"/>
        <v>293</v>
      </c>
      <c r="S97" s="97">
        <f t="shared" si="16"/>
        <v>-1025500000</v>
      </c>
      <c r="T97" s="97"/>
    </row>
    <row r="98" spans="1:25">
      <c r="A98" s="94"/>
      <c r="O98" s="97" t="s">
        <v>5572</v>
      </c>
      <c r="P98" s="18">
        <v>-70000</v>
      </c>
      <c r="Q98" s="97">
        <v>1</v>
      </c>
      <c r="R98" s="97">
        <f t="shared" si="15"/>
        <v>287</v>
      </c>
      <c r="S98" s="97">
        <f t="shared" si="16"/>
        <v>-20090000</v>
      </c>
      <c r="T98" s="97"/>
    </row>
    <row r="99" spans="1:25">
      <c r="A99" s="94"/>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N116" t="s">
        <v>25</v>
      </c>
      <c r="O116" s="97" t="s">
        <v>5799</v>
      </c>
      <c r="P116" s="18">
        <v>-192797</v>
      </c>
      <c r="Q116" s="97">
        <v>15</v>
      </c>
      <c r="R116" s="97">
        <f t="shared" si="15"/>
        <v>104</v>
      </c>
      <c r="S116" s="97">
        <f t="shared" si="16"/>
        <v>-20050888</v>
      </c>
      <c r="T116" s="97"/>
    </row>
    <row r="117" spans="1:23">
      <c r="O117" s="97" t="s">
        <v>5804</v>
      </c>
      <c r="P117" s="18">
        <v>2000000</v>
      </c>
      <c r="Q117" s="97">
        <v>12</v>
      </c>
      <c r="R117" s="97">
        <f t="shared" si="15"/>
        <v>89</v>
      </c>
      <c r="S117" s="97">
        <f t="shared" si="16"/>
        <v>178000000</v>
      </c>
      <c r="T117" s="97"/>
    </row>
    <row r="118" spans="1:23">
      <c r="A118" s="305" t="s">
        <v>180</v>
      </c>
      <c r="B118" s="306" t="s">
        <v>5914</v>
      </c>
      <c r="C118" s="32" t="s">
        <v>5915</v>
      </c>
      <c r="D118" s="32" t="s">
        <v>5916</v>
      </c>
      <c r="E118" s="32" t="s">
        <v>5917</v>
      </c>
      <c r="F118" s="32" t="s">
        <v>5918</v>
      </c>
      <c r="G118" s="32" t="s">
        <v>5328</v>
      </c>
      <c r="H118" s="32" t="s">
        <v>5919</v>
      </c>
      <c r="I118" s="280" t="s">
        <v>5920</v>
      </c>
      <c r="O118" s="97" t="s">
        <v>5812</v>
      </c>
      <c r="P118" s="18">
        <v>-2000000</v>
      </c>
      <c r="Q118" s="97">
        <v>0</v>
      </c>
      <c r="R118" s="97">
        <f t="shared" si="15"/>
        <v>77</v>
      </c>
      <c r="S118" s="97">
        <f t="shared" si="16"/>
        <v>-154000000</v>
      </c>
      <c r="T118" s="97"/>
    </row>
    <row r="119" spans="1:23">
      <c r="A119" s="305" t="s">
        <v>4223</v>
      </c>
      <c r="B119" s="307">
        <v>70000000</v>
      </c>
      <c r="C119" s="308">
        <v>4400000</v>
      </c>
      <c r="D119" s="309">
        <f>B119/C119</f>
        <v>15.909090909090908</v>
      </c>
      <c r="E119" s="18">
        <v>190</v>
      </c>
      <c r="F119" s="32">
        <f>B119/E119</f>
        <v>368421.05263157893</v>
      </c>
      <c r="G119" s="32"/>
      <c r="H119" s="32"/>
      <c r="I119" s="207"/>
      <c r="O119" s="97" t="s">
        <v>5812</v>
      </c>
      <c r="P119" s="18">
        <v>-4000000</v>
      </c>
      <c r="Q119" s="97">
        <v>1</v>
      </c>
      <c r="R119" s="97">
        <f t="shared" si="15"/>
        <v>77</v>
      </c>
      <c r="S119" s="97">
        <f t="shared" si="16"/>
        <v>-308000000</v>
      </c>
      <c r="T119" s="97"/>
    </row>
    <row r="120" spans="1:23">
      <c r="A120" s="305" t="s">
        <v>4744</v>
      </c>
      <c r="B120" s="18"/>
      <c r="C120" s="18"/>
      <c r="D120" s="18"/>
      <c r="E120" s="18"/>
      <c r="F120" s="32">
        <f>F119+I120</f>
        <v>419590.64327485382</v>
      </c>
      <c r="G120" s="32">
        <v>25</v>
      </c>
      <c r="H120" s="32">
        <v>180</v>
      </c>
      <c r="I120" s="311">
        <f>G120*F119/H120</f>
        <v>51169.59064327486</v>
      </c>
      <c r="O120" s="97" t="s">
        <v>5814</v>
      </c>
      <c r="P120" s="18">
        <v>-3000000</v>
      </c>
      <c r="Q120" s="97">
        <v>3</v>
      </c>
      <c r="R120" s="97">
        <f t="shared" si="15"/>
        <v>76</v>
      </c>
      <c r="S120" s="97">
        <f t="shared" si="16"/>
        <v>-228000000</v>
      </c>
      <c r="T120" s="97"/>
    </row>
    <row r="121" spans="1:23">
      <c r="A121" s="305" t="s">
        <v>5433</v>
      </c>
      <c r="B121" s="18"/>
      <c r="C121" s="18"/>
      <c r="D121" s="18"/>
      <c r="E121" s="18"/>
      <c r="F121" s="32">
        <f>F120+I121</f>
        <v>441232.68698060943</v>
      </c>
      <c r="G121" s="32">
        <v>49</v>
      </c>
      <c r="H121" s="32">
        <v>950</v>
      </c>
      <c r="I121" s="311">
        <f>F120*G121/H121</f>
        <v>21642.043705755616</v>
      </c>
      <c r="O121" s="97" t="s">
        <v>5822</v>
      </c>
      <c r="P121" s="18">
        <v>-6000000</v>
      </c>
      <c r="Q121" s="97">
        <v>1</v>
      </c>
      <c r="R121" s="97">
        <f t="shared" si="15"/>
        <v>73</v>
      </c>
      <c r="S121" s="97">
        <f t="shared" si="16"/>
        <v>-438000000</v>
      </c>
      <c r="T121" s="97"/>
    </row>
    <row r="122" spans="1:23">
      <c r="A122" s="305" t="s">
        <v>5889</v>
      </c>
      <c r="B122" s="18"/>
      <c r="C122" s="18"/>
      <c r="D122" s="18"/>
      <c r="E122" s="18"/>
      <c r="F122" s="32">
        <f>F121+I122</f>
        <v>473322.33694283559</v>
      </c>
      <c r="G122" s="32">
        <v>80</v>
      </c>
      <c r="H122" s="32">
        <v>1100</v>
      </c>
      <c r="I122" s="311">
        <f>F121*G122/H122</f>
        <v>32089.64996222614</v>
      </c>
      <c r="O122" s="97" t="s">
        <v>5826</v>
      </c>
      <c r="P122" s="18">
        <v>-10000000</v>
      </c>
      <c r="Q122" s="97">
        <v>0</v>
      </c>
      <c r="R122" s="97">
        <f t="shared" si="15"/>
        <v>72</v>
      </c>
      <c r="S122" s="97">
        <f t="shared" si="16"/>
        <v>-720000000</v>
      </c>
      <c r="T122" s="97"/>
    </row>
    <row r="123" spans="1:23">
      <c r="A123" s="9"/>
      <c r="B123" s="18"/>
      <c r="O123" s="97" t="s">
        <v>5826</v>
      </c>
      <c r="P123" s="18">
        <v>-5500000</v>
      </c>
      <c r="Q123" s="97">
        <v>1</v>
      </c>
      <c r="R123" s="97">
        <f t="shared" si="15"/>
        <v>72</v>
      </c>
      <c r="S123" s="97">
        <f t="shared" si="16"/>
        <v>-396000000</v>
      </c>
      <c r="T123" s="97"/>
    </row>
    <row r="124" spans="1:23">
      <c r="A124" s="305"/>
      <c r="B124" s="307" t="s">
        <v>5921</v>
      </c>
      <c r="C124" s="18"/>
      <c r="D124" s="18" t="s">
        <v>5922</v>
      </c>
      <c r="E124" s="18"/>
      <c r="F124" s="18" t="s">
        <v>5923</v>
      </c>
      <c r="G124" s="32"/>
      <c r="H124" s="32"/>
      <c r="I124" s="207"/>
      <c r="O124" s="97" t="s">
        <v>5827</v>
      </c>
      <c r="P124" s="18">
        <v>-1500000</v>
      </c>
      <c r="Q124" s="97">
        <v>9</v>
      </c>
      <c r="R124" s="97">
        <f t="shared" si="15"/>
        <v>71</v>
      </c>
      <c r="S124" s="97">
        <f t="shared" si="16"/>
        <v>-106500000</v>
      </c>
      <c r="T124" s="97"/>
    </row>
    <row r="125" spans="1:23">
      <c r="A125" s="305" t="s">
        <v>5913</v>
      </c>
      <c r="B125" s="307">
        <v>260000000</v>
      </c>
      <c r="C125" s="18"/>
      <c r="D125" s="308">
        <f>10440000*D119</f>
        <v>166090909.09090909</v>
      </c>
      <c r="E125" s="18"/>
      <c r="F125" s="310">
        <f>1066*F122</f>
        <v>504561611.18106276</v>
      </c>
      <c r="G125" s="32"/>
      <c r="H125" s="32"/>
      <c r="I125" s="207"/>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94"/>
      <c r="B127" s="94"/>
      <c r="E127" s="94"/>
      <c r="F127" s="94"/>
      <c r="G127" s="94"/>
      <c r="H127" s="94"/>
      <c r="I127" s="94" t="s">
        <v>25</v>
      </c>
      <c r="J127" s="94"/>
      <c r="O127" s="97" t="s">
        <v>5889</v>
      </c>
      <c r="P127" s="18">
        <v>3000000</v>
      </c>
      <c r="Q127" s="97">
        <v>0</v>
      </c>
      <c r="R127" s="97">
        <f t="shared" si="15"/>
        <v>35</v>
      </c>
      <c r="S127" s="97">
        <f t="shared" si="16"/>
        <v>105000000</v>
      </c>
      <c r="T127" s="97"/>
      <c r="W127" t="s">
        <v>25</v>
      </c>
    </row>
    <row r="128" spans="1:23">
      <c r="A128" s="94"/>
      <c r="B128" s="94"/>
      <c r="E128" s="94"/>
      <c r="F128" s="94"/>
      <c r="G128" s="94"/>
      <c r="H128" s="94"/>
      <c r="I128" s="94"/>
      <c r="J128" s="94"/>
      <c r="O128" s="97" t="s">
        <v>5889</v>
      </c>
      <c r="P128" s="18">
        <v>-3000000</v>
      </c>
      <c r="Q128" s="97">
        <v>1</v>
      </c>
      <c r="R128" s="97">
        <f t="shared" si="15"/>
        <v>35</v>
      </c>
      <c r="S128" s="97">
        <f t="shared" si="16"/>
        <v>-105000000</v>
      </c>
      <c r="T128" s="97"/>
    </row>
    <row r="129" spans="1:22">
      <c r="A129" s="315" t="s">
        <v>6473</v>
      </c>
      <c r="B129" s="316" t="s">
        <v>6471</v>
      </c>
      <c r="C129" s="32" t="s">
        <v>6500</v>
      </c>
      <c r="D129" s="239" t="s">
        <v>1100</v>
      </c>
      <c r="E129" s="32" t="s">
        <v>6472</v>
      </c>
      <c r="F129" s="207" t="s">
        <v>5915</v>
      </c>
      <c r="G129" s="207" t="s">
        <v>6499</v>
      </c>
      <c r="H129" s="94"/>
      <c r="I129" s="94"/>
      <c r="J129" s="94"/>
      <c r="O129" s="97" t="s">
        <v>5890</v>
      </c>
      <c r="P129" s="18">
        <v>-11455000</v>
      </c>
      <c r="Q129" s="97">
        <v>14</v>
      </c>
      <c r="R129" s="97">
        <f t="shared" si="15"/>
        <v>34</v>
      </c>
      <c r="S129" s="97">
        <f t="shared" si="16"/>
        <v>-389470000</v>
      </c>
      <c r="T129" s="97"/>
    </row>
    <row r="130" spans="1:22">
      <c r="A130" s="315">
        <v>1390</v>
      </c>
      <c r="B130" s="316">
        <v>354</v>
      </c>
      <c r="C130" s="32"/>
      <c r="D130" s="239">
        <v>1900</v>
      </c>
      <c r="E130" s="32">
        <f t="shared" ref="E130:E135" si="17">B130*1000/D130</f>
        <v>186.31578947368422</v>
      </c>
      <c r="F130" s="18">
        <v>700000</v>
      </c>
      <c r="G130" s="207">
        <f t="shared" ref="G130:G135" si="18">B130*1000*1000/F130</f>
        <v>505.71428571428572</v>
      </c>
      <c r="H130" s="94"/>
      <c r="I130" s="94"/>
      <c r="J130" s="94"/>
      <c r="O130" s="97" t="s">
        <v>6478</v>
      </c>
      <c r="P130" s="18">
        <v>2317100</v>
      </c>
      <c r="Q130" s="97">
        <v>3</v>
      </c>
      <c r="R130" s="97">
        <f t="shared" si="15"/>
        <v>20</v>
      </c>
      <c r="S130" s="97">
        <f t="shared" si="16"/>
        <v>46342000</v>
      </c>
      <c r="T130" s="97"/>
    </row>
    <row r="131" spans="1:22">
      <c r="A131" s="315">
        <v>1391</v>
      </c>
      <c r="B131" s="316">
        <v>460</v>
      </c>
      <c r="C131" s="32">
        <f>(B131-B130)*100/B130</f>
        <v>29.943502824858758</v>
      </c>
      <c r="D131" s="239">
        <v>3200</v>
      </c>
      <c r="E131" s="32">
        <f t="shared" si="17"/>
        <v>143.75</v>
      </c>
      <c r="F131" s="18">
        <v>1200000</v>
      </c>
      <c r="G131" s="207">
        <f t="shared" si="18"/>
        <v>383.33333333333331</v>
      </c>
      <c r="H131" s="94"/>
      <c r="I131" s="94" t="s">
        <v>25</v>
      </c>
      <c r="J131" s="94"/>
      <c r="O131" s="97" t="s">
        <v>6486</v>
      </c>
      <c r="P131" s="18">
        <v>699000</v>
      </c>
      <c r="Q131" s="97">
        <v>3</v>
      </c>
      <c r="R131" s="97">
        <f t="shared" si="15"/>
        <v>17</v>
      </c>
      <c r="S131" s="97">
        <f t="shared" si="16"/>
        <v>11883000</v>
      </c>
      <c r="T131" s="97"/>
    </row>
    <row r="132" spans="1:22">
      <c r="A132" s="315">
        <v>1392</v>
      </c>
      <c r="B132" s="316">
        <v>640</v>
      </c>
      <c r="C132" s="32">
        <f t="shared" ref="C132:C139" si="19">(B132-B131)*100/B131</f>
        <v>39.130434782608695</v>
      </c>
      <c r="D132" s="239">
        <v>3100</v>
      </c>
      <c r="E132" s="32">
        <f t="shared" si="17"/>
        <v>206.45161290322579</v>
      </c>
      <c r="F132" s="18">
        <v>970000</v>
      </c>
      <c r="G132" s="207">
        <f t="shared" si="18"/>
        <v>659.79381443298973</v>
      </c>
      <c r="H132" s="94"/>
      <c r="I132" s="94" t="s">
        <v>25</v>
      </c>
      <c r="J132" s="94" t="s">
        <v>25</v>
      </c>
      <c r="O132" s="97" t="s">
        <v>6492</v>
      </c>
      <c r="P132" s="18">
        <v>-1016100</v>
      </c>
      <c r="Q132" s="97">
        <v>5</v>
      </c>
      <c r="R132" s="97">
        <f t="shared" si="15"/>
        <v>14</v>
      </c>
      <c r="S132" s="97">
        <f t="shared" si="16"/>
        <v>-14225400</v>
      </c>
      <c r="T132" s="97"/>
    </row>
    <row r="133" spans="1:22">
      <c r="A133" s="315">
        <v>1393</v>
      </c>
      <c r="B133" s="316">
        <v>782</v>
      </c>
      <c r="C133" s="32">
        <f t="shared" si="19"/>
        <v>22.1875</v>
      </c>
      <c r="D133" s="239">
        <v>3300</v>
      </c>
      <c r="E133" s="32">
        <f t="shared" si="17"/>
        <v>236.96969696969697</v>
      </c>
      <c r="F133" s="18">
        <v>1000000</v>
      </c>
      <c r="G133" s="207">
        <f t="shared" si="18"/>
        <v>782</v>
      </c>
      <c r="H133" s="94" t="s">
        <v>25</v>
      </c>
      <c r="I133" s="94"/>
      <c r="J133" s="94"/>
      <c r="O133" s="97" t="s">
        <v>6501</v>
      </c>
      <c r="P133" s="18">
        <v>-680000</v>
      </c>
      <c r="Q133" s="97">
        <v>3</v>
      </c>
      <c r="R133" s="97">
        <f t="shared" si="15"/>
        <v>9</v>
      </c>
      <c r="S133" s="97">
        <f t="shared" si="16"/>
        <v>-6120000</v>
      </c>
      <c r="T133" s="97"/>
    </row>
    <row r="134" spans="1:22">
      <c r="A134" s="315">
        <v>1394</v>
      </c>
      <c r="B134" s="316">
        <v>1017</v>
      </c>
      <c r="C134" s="32">
        <f t="shared" si="19"/>
        <v>30.051150895140665</v>
      </c>
      <c r="D134" s="239">
        <v>3500</v>
      </c>
      <c r="E134" s="32">
        <f t="shared" si="17"/>
        <v>290.57142857142856</v>
      </c>
      <c r="F134" s="18">
        <v>1000000</v>
      </c>
      <c r="G134" s="207">
        <f t="shared" si="18"/>
        <v>1017</v>
      </c>
      <c r="H134" s="94"/>
      <c r="I134" s="94" t="s">
        <v>25</v>
      </c>
      <c r="J134" s="94"/>
      <c r="O134" s="97" t="s">
        <v>6502</v>
      </c>
      <c r="P134" s="18">
        <v>-216000</v>
      </c>
      <c r="Q134" s="97">
        <v>3</v>
      </c>
      <c r="R134" s="97">
        <f t="shared" si="15"/>
        <v>6</v>
      </c>
      <c r="S134" s="97">
        <f t="shared" si="16"/>
        <v>-1296000</v>
      </c>
      <c r="T134" s="97"/>
    </row>
    <row r="135" spans="1:22">
      <c r="A135" s="315">
        <v>1395</v>
      </c>
      <c r="B135" s="316">
        <v>1253</v>
      </c>
      <c r="C135" s="32">
        <f t="shared" si="19"/>
        <v>23.2055063913471</v>
      </c>
      <c r="D135" s="239">
        <v>3800</v>
      </c>
      <c r="E135" s="32">
        <f t="shared" si="17"/>
        <v>329.73684210526318</v>
      </c>
      <c r="F135" s="18">
        <v>1100000</v>
      </c>
      <c r="G135" s="207">
        <f t="shared" si="18"/>
        <v>1139.090909090909</v>
      </c>
      <c r="H135" s="94" t="s">
        <v>25</v>
      </c>
      <c r="I135" s="94" t="s">
        <v>25</v>
      </c>
      <c r="J135" s="94"/>
      <c r="O135" s="97" t="s">
        <v>6509</v>
      </c>
      <c r="P135" s="18">
        <v>-619000</v>
      </c>
      <c r="Q135" s="97">
        <v>3</v>
      </c>
      <c r="R135" s="97">
        <f>Q135+R139</f>
        <v>3</v>
      </c>
      <c r="S135" s="97">
        <f t="shared" si="16"/>
        <v>-1857000</v>
      </c>
      <c r="T135" s="97"/>
    </row>
    <row r="136" spans="1:22">
      <c r="A136" s="315">
        <v>1396</v>
      </c>
      <c r="B136" s="316">
        <v>1530</v>
      </c>
      <c r="C136" s="32">
        <f t="shared" si="19"/>
        <v>22.106943335993616</v>
      </c>
      <c r="D136" s="239">
        <v>4500</v>
      </c>
      <c r="E136" s="32">
        <f>B136*1000/D136</f>
        <v>340</v>
      </c>
      <c r="F136" s="18">
        <v>1400000</v>
      </c>
      <c r="G136" s="207">
        <f>B136*1000*1000/F136</f>
        <v>1092.8571428571429</v>
      </c>
      <c r="H136" s="94"/>
      <c r="I136" s="94"/>
      <c r="J136" s="94"/>
      <c r="O136" s="97" t="s">
        <v>6529</v>
      </c>
      <c r="P136" s="18">
        <v>-485000</v>
      </c>
      <c r="Q136" s="97">
        <v>1</v>
      </c>
      <c r="R136" s="97"/>
      <c r="S136" s="97"/>
      <c r="T136" s="97"/>
      <c r="V136" t="s">
        <v>25</v>
      </c>
    </row>
    <row r="137" spans="1:22">
      <c r="A137" s="315">
        <v>1397</v>
      </c>
      <c r="B137" s="316">
        <v>1882</v>
      </c>
      <c r="C137" s="32">
        <f t="shared" si="19"/>
        <v>23.006535947712418</v>
      </c>
      <c r="D137" s="239">
        <v>12000</v>
      </c>
      <c r="E137" s="32">
        <f>B137*1000/D137</f>
        <v>156.83333333333334</v>
      </c>
      <c r="F137" s="18">
        <v>4750000</v>
      </c>
      <c r="G137" s="207">
        <f t="shared" ref="G137:G140" si="20">B137*1000*1000/F137</f>
        <v>396.21052631578948</v>
      </c>
      <c r="H137" s="94"/>
      <c r="I137" s="94"/>
      <c r="J137" s="94"/>
      <c r="O137" s="97"/>
      <c r="P137" s="18"/>
      <c r="Q137" s="97"/>
      <c r="R137" s="97"/>
      <c r="S137" s="97"/>
      <c r="T137" s="97"/>
    </row>
    <row r="138" spans="1:22">
      <c r="A138" s="315">
        <v>1398</v>
      </c>
      <c r="B138" s="316">
        <v>2472</v>
      </c>
      <c r="C138" s="32">
        <f t="shared" si="19"/>
        <v>31.349628055260361</v>
      </c>
      <c r="D138" s="239">
        <v>15000</v>
      </c>
      <c r="E138" s="32">
        <f t="shared" ref="E138:E140" si="21">B138*1000/D138</f>
        <v>164.8</v>
      </c>
      <c r="F138" s="18">
        <v>6600000</v>
      </c>
      <c r="G138" s="207">
        <f t="shared" si="20"/>
        <v>374.54545454545456</v>
      </c>
      <c r="M138" t="s">
        <v>25</v>
      </c>
      <c r="O138" s="97"/>
      <c r="P138" s="18"/>
      <c r="Q138" s="97"/>
      <c r="R138" s="97"/>
      <c r="S138" s="97"/>
      <c r="T138" s="97"/>
    </row>
    <row r="139" spans="1:22">
      <c r="A139" s="315">
        <v>1399</v>
      </c>
      <c r="B139" s="316">
        <v>3350</v>
      </c>
      <c r="C139" s="32">
        <f t="shared" si="19"/>
        <v>35.517799352750806</v>
      </c>
      <c r="D139" s="239">
        <v>25000</v>
      </c>
      <c r="E139" s="32">
        <f t="shared" si="21"/>
        <v>134</v>
      </c>
      <c r="F139" s="18">
        <v>12000000</v>
      </c>
      <c r="G139" s="207">
        <f t="shared" si="20"/>
        <v>279.16666666666669</v>
      </c>
      <c r="O139" s="97"/>
      <c r="P139" s="18"/>
      <c r="Q139" s="97"/>
      <c r="R139" s="97">
        <f t="shared" si="15"/>
        <v>0</v>
      </c>
      <c r="S139" s="97"/>
      <c r="T139" s="97"/>
    </row>
    <row r="140" spans="1:22">
      <c r="A140" s="315">
        <v>1400</v>
      </c>
      <c r="B140" s="316">
        <f>B139*(1+C139/100)</f>
        <v>4539.8462783171526</v>
      </c>
      <c r="C140" s="32">
        <f t="shared" ref="C140" si="22">B140-B139</f>
        <v>1189.8462783171526</v>
      </c>
      <c r="D140" s="239">
        <v>15000</v>
      </c>
      <c r="E140" s="32">
        <f t="shared" si="21"/>
        <v>302.65641855447683</v>
      </c>
      <c r="F140" s="18">
        <v>15000000</v>
      </c>
      <c r="G140" s="207">
        <f t="shared" si="20"/>
        <v>302.65641855447689</v>
      </c>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F142" s="94"/>
      <c r="G142" s="94"/>
      <c r="O142" s="97"/>
      <c r="P142" s="18">
        <f>SUM(P28:P141)</f>
        <v>0</v>
      </c>
      <c r="Q142" s="97"/>
      <c r="R142" s="97"/>
      <c r="S142" s="18">
        <f>SUM(S28:S141)</f>
        <v>11488467500</v>
      </c>
      <c r="T142" s="97"/>
    </row>
    <row r="143" spans="1:22">
      <c r="A143" s="94"/>
      <c r="B143" s="94"/>
      <c r="E143" s="94"/>
      <c r="F143" s="94"/>
      <c r="G143" s="94"/>
      <c r="P143" t="s">
        <v>4913</v>
      </c>
    </row>
    <row r="144" spans="1:22">
      <c r="A144" s="94"/>
      <c r="B144" s="94"/>
      <c r="E144" s="94"/>
    </row>
    <row r="145" spans="1:18">
      <c r="A145" s="94"/>
      <c r="B145" s="94"/>
      <c r="E145" s="94"/>
      <c r="O145" t="s">
        <v>6508</v>
      </c>
      <c r="P145" s="18">
        <v>70000000</v>
      </c>
    </row>
    <row r="146" spans="1:18">
      <c r="A146" s="94"/>
      <c r="B146" s="94"/>
      <c r="E146" s="94"/>
      <c r="O146" t="s">
        <v>25</v>
      </c>
    </row>
    <row r="147" spans="1:18">
      <c r="A147" s="94"/>
      <c r="B147" s="94"/>
      <c r="E147" s="94"/>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5911</v>
      </c>
      <c r="I161" t="s">
        <v>25</v>
      </c>
    </row>
    <row r="162" spans="4:9">
      <c r="D162" s="18">
        <v>50000000</v>
      </c>
      <c r="E162" s="237" t="s">
        <v>5932</v>
      </c>
    </row>
    <row r="163" spans="4:9">
      <c r="D163" s="18">
        <v>-19100000</v>
      </c>
      <c r="E163" s="237" t="s">
        <v>5931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O153" zoomScale="80" zoomScaleNormal="80" workbookViewId="0">
      <selection activeCell="S167" sqref="S1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4566245436.9703608</v>
      </c>
      <c r="M21" s="166" t="s">
        <v>4275</v>
      </c>
      <c r="N21" s="111">
        <f>O21*P21</f>
        <v>2508896760</v>
      </c>
      <c r="O21" s="97">
        <v>2602590</v>
      </c>
      <c r="P21" s="183">
        <f>P50</f>
        <v>964</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453870</v>
      </c>
      <c r="O22" s="97">
        <v>369</v>
      </c>
      <c r="P22" s="183">
        <f>P53</f>
        <v>1230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5924</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4466347394.9703608</v>
      </c>
      <c r="G24" s="93">
        <f t="shared" si="0"/>
        <v>-4186041049.5884223</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5891</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5935</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5924</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298248104</v>
      </c>
      <c r="O31" s="67">
        <v>309386</v>
      </c>
      <c r="P31" s="97">
        <f>P50</f>
        <v>964</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-4566245436.9703608</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f>O23+1438</f>
        <v>35066</v>
      </c>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6477</v>
      </c>
      <c r="L41" s="115">
        <f>-13649*P50</f>
        <v>-13157636</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6485</v>
      </c>
      <c r="L42" s="115">
        <f>(548)*P50</f>
        <v>528272</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-12629364</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6528</v>
      </c>
      <c r="N44" s="115">
        <f>O44*P44</f>
        <v>35071284</v>
      </c>
      <c r="O44" s="67">
        <v>36381</v>
      </c>
      <c r="P44" s="67">
        <f>P50</f>
        <v>964</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5886</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6503</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19280000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6532</v>
      </c>
      <c r="L50" s="115">
        <v>436159</v>
      </c>
      <c r="M50" s="19" t="s">
        <v>4159</v>
      </c>
      <c r="N50" s="111">
        <f>O50*P50</f>
        <v>4241842928</v>
      </c>
      <c r="O50" s="97">
        <v>4400252</v>
      </c>
      <c r="P50" s="97">
        <v>964</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5924</v>
      </c>
      <c r="N51" s="111">
        <f>O51*P51</f>
        <v>31003830</v>
      </c>
      <c r="O51" s="97">
        <v>17082</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5891</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138090870</v>
      </c>
      <c r="O53" s="97">
        <v>112269</v>
      </c>
      <c r="P53" s="97">
        <v>1230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-84589383.810827002</v>
      </c>
      <c r="P62" t="s">
        <v>25</v>
      </c>
      <c r="Q62" s="167"/>
      <c r="R62" s="207" t="s">
        <v>5787</v>
      </c>
      <c r="S62" s="194">
        <f>S61-2</f>
        <v>121</v>
      </c>
      <c r="T62" s="207" t="s">
        <v>5928</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5890</v>
      </c>
      <c r="S64" s="194">
        <f>S63-29</f>
        <v>28</v>
      </c>
      <c r="T64" s="207" t="s">
        <v>5892</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2774882248.2188125</v>
      </c>
      <c r="P65" t="s">
        <v>25</v>
      </c>
      <c r="Q65" s="167"/>
      <c r="R65" s="207" t="s">
        <v>5908</v>
      </c>
      <c r="S65" s="194">
        <f>S64-3</f>
        <v>25</v>
      </c>
      <c r="T65" s="207" t="s">
        <v>5910</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4466347394.9703608</v>
      </c>
      <c r="M66" s="166"/>
      <c r="N66" s="111">
        <f>N16+N17+N35</f>
        <v>641053</v>
      </c>
      <c r="P66" t="s">
        <v>25</v>
      </c>
      <c r="Q66" s="167"/>
      <c r="R66" s="207" t="s">
        <v>5925</v>
      </c>
      <c r="S66" s="194">
        <f>S65-3</f>
        <v>22</v>
      </c>
      <c r="T66" s="207" t="s">
        <v>5927</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6460</v>
      </c>
      <c r="S67" s="194">
        <f>S66-5</f>
        <v>17</v>
      </c>
      <c r="T67" s="207" t="s">
        <v>6461</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4566347394.9703608</v>
      </c>
      <c r="O68" s="94"/>
      <c r="P68" s="120" t="s">
        <v>25</v>
      </c>
      <c r="Q68" s="167"/>
      <c r="R68" s="207" t="s">
        <v>6464</v>
      </c>
      <c r="S68" s="194">
        <f>S67-1</f>
        <v>16</v>
      </c>
      <c r="T68" s="207" t="s">
        <v>6482</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6464</v>
      </c>
      <c r="S69" s="194">
        <f>S68</f>
        <v>16</v>
      </c>
      <c r="T69" s="207" t="s">
        <v>6466</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6469</v>
      </c>
      <c r="S70" s="194">
        <f>S69-1</f>
        <v>15</v>
      </c>
      <c r="T70" s="207" t="s">
        <v>6475</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6464</v>
      </c>
      <c r="P71" s="113"/>
      <c r="Q71" s="167"/>
      <c r="R71" s="207" t="s">
        <v>6478</v>
      </c>
      <c r="S71" s="194">
        <f>S70-1</f>
        <v>14</v>
      </c>
      <c r="T71" s="207" t="s">
        <v>6483</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6467</v>
      </c>
      <c r="Q72" s="167"/>
      <c r="R72" s="207" t="s">
        <v>6478</v>
      </c>
      <c r="S72" s="194">
        <f>S71</f>
        <v>14</v>
      </c>
      <c r="T72" s="207" t="s">
        <v>6484</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6468</v>
      </c>
      <c r="Q73" s="167"/>
      <c r="R73" s="207" t="s">
        <v>6486</v>
      </c>
      <c r="S73" s="194">
        <f>S72-3</f>
        <v>11</v>
      </c>
      <c r="T73" s="207" t="s">
        <v>6487</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6474</v>
      </c>
      <c r="Q74" s="167"/>
      <c r="R74" s="207" t="s">
        <v>6488</v>
      </c>
      <c r="S74" s="194">
        <f>S73-1</f>
        <v>10</v>
      </c>
      <c r="T74" s="207" t="s">
        <v>6489</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6490</v>
      </c>
      <c r="S75" s="194">
        <f>S74-1</f>
        <v>9</v>
      </c>
      <c r="T75" s="207" t="s">
        <v>6491</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6493</v>
      </c>
      <c r="S76" s="194">
        <f>S75-2</f>
        <v>7</v>
      </c>
      <c r="T76" s="207" t="s">
        <v>6494</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6493</v>
      </c>
      <c r="S77" s="194">
        <f>S76</f>
        <v>7</v>
      </c>
      <c r="T77" s="207" t="s">
        <v>6495</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801386132.67580938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6469</v>
      </c>
      <c r="S104" s="194">
        <f>S103-41</f>
        <v>15</v>
      </c>
      <c r="T104" s="187" t="s">
        <v>6476</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10373.443983402489</v>
      </c>
      <c r="G107" s="196">
        <f>P50</f>
        <v>964</v>
      </c>
      <c r="H107" s="196" t="s">
        <v>4704</v>
      </c>
      <c r="I107" s="196" t="s">
        <v>5299</v>
      </c>
      <c r="J107" s="208" t="s">
        <v>4219</v>
      </c>
      <c r="K107" s="196">
        <v>210</v>
      </c>
      <c r="L107" s="209">
        <f t="shared" ref="L107:L112" si="40">K107*$L$115</f>
        <v>2100000000</v>
      </c>
      <c r="M107" s="209">
        <f>N21+N31+N50+N44</f>
        <v>7084059076</v>
      </c>
      <c r="N107" s="181">
        <f t="shared" ref="N107:N112" si="41">L107-M107</f>
        <v>-4984059076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330000000</v>
      </c>
      <c r="M108" s="1">
        <f>N49+N28+N22</f>
        <v>33061910</v>
      </c>
      <c r="N108" s="111">
        <f t="shared" si="41"/>
        <v>296938090</v>
      </c>
      <c r="P108" s="94"/>
      <c r="Q108" s="111">
        <f>SUM(N28:N31)-SUM(Q87:Q107)</f>
        <v>317287526.7462979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467</v>
      </c>
      <c r="L112" s="240">
        <f t="shared" si="40"/>
        <v>4670000000</v>
      </c>
      <c r="M112" s="240">
        <v>0</v>
      </c>
      <c r="N112" s="84">
        <f t="shared" si="41"/>
        <v>4670000000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32629364</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711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-17081831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964</v>
      </c>
      <c r="H125" s="97" t="s">
        <v>4219</v>
      </c>
      <c r="I125" s="97">
        <v>51250</v>
      </c>
      <c r="J125" s="1">
        <f>I125*G125</f>
        <v>49405000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16685500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6502</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964</v>
      </c>
      <c r="H138" s="207" t="s">
        <v>4219</v>
      </c>
      <c r="I138" s="207">
        <v>20000</v>
      </c>
      <c r="J138" s="1">
        <f>G138*I138</f>
        <v>19280000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6531</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6517</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-130720000</v>
      </c>
      <c r="J141" s="1">
        <f>SUM(J138:J139)</f>
        <v>19280000</v>
      </c>
      <c r="K141" t="s">
        <v>25</v>
      </c>
      <c r="Q141" s="167"/>
      <c r="R141" s="207" t="s">
        <v>5885</v>
      </c>
      <c r="S141" s="207">
        <f>S140-17</f>
        <v>32</v>
      </c>
      <c r="T141" s="207" t="s">
        <v>6463</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5887</v>
      </c>
      <c r="S142" s="207">
        <f>S141-1</f>
        <v>31</v>
      </c>
      <c r="T142" s="207" t="s">
        <v>5888</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5925</v>
      </c>
      <c r="S143" s="207">
        <f>S142-9</f>
        <v>22</v>
      </c>
      <c r="T143" s="207" t="s">
        <v>5926</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6464</v>
      </c>
      <c r="S144" s="207">
        <f>S143-6</f>
        <v>16</v>
      </c>
      <c r="T144" s="207" t="s">
        <v>6465</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6469</v>
      </c>
      <c r="S145" s="207">
        <f>S144-1</f>
        <v>15</v>
      </c>
      <c r="T145" s="207" t="s">
        <v>6541</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6478</v>
      </c>
      <c r="S146" s="207">
        <f>S145-1</f>
        <v>14</v>
      </c>
      <c r="T146" s="207" t="s">
        <v>6479</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114478.41701244813</v>
      </c>
      <c r="H147" s="280" t="s">
        <v>5459</v>
      </c>
      <c r="I147" s="32">
        <f>(J138+N30+N50+N48+N31+N24+N21)/P49</f>
        <v>330720.5484651163</v>
      </c>
      <c r="J147" s="112"/>
      <c r="K147" s="94"/>
      <c r="L147" s="94" t="s">
        <v>25</v>
      </c>
      <c r="M147" s="94"/>
      <c r="P147" s="112"/>
      <c r="Q147" s="167"/>
      <c r="R147" s="207" t="s">
        <v>6478</v>
      </c>
      <c r="S147" s="207">
        <f>S146</f>
        <v>14</v>
      </c>
      <c r="T147" s="207" t="s">
        <v>6480</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7446706.4170124484</v>
      </c>
      <c r="H148" s="32" t="s">
        <v>5460</v>
      </c>
      <c r="I148" s="32">
        <f>I146+I147</f>
        <v>394330.5484651163</v>
      </c>
      <c r="J148" s="112"/>
      <c r="K148" s="94"/>
      <c r="L148" s="94"/>
      <c r="N148" s="94"/>
      <c r="O148" s="94"/>
      <c r="Q148" s="167"/>
      <c r="R148" s="207" t="s">
        <v>6502</v>
      </c>
      <c r="S148" s="207">
        <f>S147-14</f>
        <v>0</v>
      </c>
      <c r="T148" s="207" t="s">
        <v>6504</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346171.52110107255</v>
      </c>
      <c r="H149" s="32" t="s">
        <v>5436</v>
      </c>
      <c r="I149" s="32">
        <f>(W169+W170)/P49</f>
        <v>15521.364946113206</v>
      </c>
      <c r="J149" s="112"/>
      <c r="K149" s="94"/>
      <c r="L149" s="94"/>
      <c r="M149" s="94"/>
      <c r="N149" s="94"/>
      <c r="O149" s="94"/>
      <c r="Q149" s="167"/>
      <c r="R149" s="207" t="s">
        <v>6510</v>
      </c>
      <c r="S149" s="207">
        <f>S148-4</f>
        <v>-4</v>
      </c>
      <c r="T149" s="207" t="s">
        <v>6516</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2694259.3440749017</v>
      </c>
      <c r="H150" s="32" t="s">
        <v>481</v>
      </c>
      <c r="I150" s="32">
        <f>W167/P49</f>
        <v>120803.0701250328</v>
      </c>
      <c r="J150" s="112"/>
      <c r="K150" s="94"/>
      <c r="L150" s="94"/>
      <c r="N150" s="94"/>
      <c r="O150" s="94"/>
      <c r="Q150" s="167"/>
      <c r="R150" s="207" t="s">
        <v>6529</v>
      </c>
      <c r="S150" s="207">
        <f>S149-2</f>
        <v>-6</v>
      </c>
      <c r="T150" s="207" t="s">
        <v>6530</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4406275.5518364739</v>
      </c>
      <c r="H151" s="32" t="s">
        <v>5</v>
      </c>
      <c r="I151" s="32">
        <f>I148-I149-I150</f>
        <v>258006.1133939703</v>
      </c>
      <c r="J151" s="112"/>
      <c r="K151" s="94"/>
      <c r="L151" s="94"/>
      <c r="M151" t="s">
        <v>25</v>
      </c>
      <c r="N151" s="94"/>
      <c r="O151" s="94"/>
      <c r="Q151" s="167"/>
      <c r="R151" s="207" t="s">
        <v>6533</v>
      </c>
      <c r="S151" s="207">
        <f>S150-4</f>
        <v>-10</v>
      </c>
      <c r="T151" s="207" t="s">
        <v>6534</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6535</v>
      </c>
      <c r="S152" s="207">
        <f>S151-1</f>
        <v>-11</v>
      </c>
      <c r="T152" s="207" t="s">
        <v>6536</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6539</v>
      </c>
      <c r="S153" s="207">
        <f>S152-1</f>
        <v>-12</v>
      </c>
      <c r="T153" s="207" t="s">
        <v>6540</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6542</v>
      </c>
      <c r="S154" s="207">
        <f>S153-2</f>
        <v>-14</v>
      </c>
      <c r="T154" s="207" t="s">
        <v>6543</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2647553393.36867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2597266007.6882052</v>
      </c>
      <c r="X167">
        <f>W167*100/$W$173</f>
        <v>34.643050806321185</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4566245436.9703608</v>
      </c>
      <c r="X168" s="94">
        <f>W168*100/$W$173</f>
        <v>60.905841834775444</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84589383.810827002</v>
      </c>
      <c r="X169" s="94">
        <f>W169*100/$W$173</f>
        <v>1.1282765463219635</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249119962.53060693</v>
      </c>
      <c r="X170" s="94">
        <f>W170*100/$W$173</f>
        <v>3.3228308125813992</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7497220791</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101080597.46939307</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-16491213.658566073</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-25208155.970360756</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4525270412</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2605982950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350200560</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6537</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6481</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6505</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6506</v>
      </c>
      <c r="R196" s="93">
        <f>-1000*P50</f>
        <v>-964000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6518</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6519</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7497220791</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5933</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5895</v>
      </c>
      <c r="R248" s="187" t="s">
        <v>5890</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5890</v>
      </c>
      <c r="S249" s="186">
        <v>-22520813.151772</v>
      </c>
      <c r="T249" s="207" t="s">
        <v>4878</v>
      </c>
      <c r="U249" s="207">
        <v>1524</v>
      </c>
      <c r="V249" s="111">
        <v>314.95999999999998</v>
      </c>
      <c r="W249" s="111">
        <f t="shared" si="66"/>
        <v>479999.04</v>
      </c>
      <c r="X249" s="97" t="s">
        <v>1071</v>
      </c>
      <c r="AH249" s="97">
        <v>229</v>
      </c>
      <c r="AI249" s="111" t="s">
        <v>5890</v>
      </c>
      <c r="AJ249" s="111">
        <v>-341847876.93843603</v>
      </c>
      <c r="AK249" s="97">
        <v>1</v>
      </c>
      <c r="AL249" s="20">
        <f t="shared" si="73"/>
        <v>14</v>
      </c>
      <c r="AM249" s="115"/>
      <c r="AN249" s="20" t="s">
        <v>4737</v>
      </c>
      <c r="AP249" t="s">
        <v>25</v>
      </c>
    </row>
    <row r="250" spans="7:46" ht="20.25" customHeight="1">
      <c r="G250" s="207" t="s">
        <v>5695</v>
      </c>
      <c r="H250" s="111">
        <v>25340079.252110001</v>
      </c>
      <c r="Q250" s="19" t="s">
        <v>6497</v>
      </c>
      <c r="R250" s="19" t="s">
        <v>6493</v>
      </c>
      <c r="S250" s="115">
        <v>-6000000</v>
      </c>
      <c r="T250" s="207" t="s">
        <v>4885</v>
      </c>
      <c r="U250" s="207">
        <v>4435</v>
      </c>
      <c r="V250" s="111">
        <v>316.4375</v>
      </c>
      <c r="W250" s="111">
        <f t="shared" si="66"/>
        <v>1403400.3125</v>
      </c>
      <c r="X250" s="97" t="s">
        <v>452</v>
      </c>
      <c r="AH250" s="97">
        <v>230</v>
      </c>
      <c r="AI250" s="111" t="s">
        <v>5903</v>
      </c>
      <c r="AJ250" s="111">
        <v>100000000</v>
      </c>
      <c r="AK250" s="97">
        <v>0</v>
      </c>
      <c r="AL250" s="20">
        <f t="shared" si="73"/>
        <v>13</v>
      </c>
      <c r="AM250" s="115"/>
      <c r="AN250" s="20" t="s">
        <v>5904</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5903</v>
      </c>
      <c r="AJ251" s="111">
        <v>-100000000</v>
      </c>
      <c r="AK251" s="97">
        <v>1</v>
      </c>
      <c r="AL251" s="20">
        <f t="shared" si="73"/>
        <v>13</v>
      </c>
      <c r="AM251" s="115"/>
      <c r="AN251" s="264" t="s">
        <v>5905</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5906</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5906</v>
      </c>
      <c r="AJ253" s="111">
        <v>-90000000</v>
      </c>
      <c r="AK253" s="97">
        <v>1</v>
      </c>
      <c r="AL253" s="20">
        <f t="shared" si="73"/>
        <v>12</v>
      </c>
      <c r="AM253" s="115"/>
      <c r="AN253" s="264" t="s">
        <v>5907</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5908</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5908</v>
      </c>
      <c r="AJ255" s="111">
        <v>-30000000</v>
      </c>
      <c r="AK255" s="97">
        <v>3</v>
      </c>
      <c r="AL255" s="20">
        <f t="shared" si="73"/>
        <v>11</v>
      </c>
      <c r="AM255" s="115"/>
      <c r="AN255" s="264" t="s">
        <v>5909</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5925</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5929</v>
      </c>
      <c r="AJ257" s="111">
        <v>-50000000</v>
      </c>
      <c r="AK257" s="97">
        <v>5</v>
      </c>
      <c r="AL257" s="20">
        <f t="shared" si="73"/>
        <v>7</v>
      </c>
      <c r="AM257" s="115"/>
      <c r="AN257" s="264" t="s">
        <v>5930</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6464</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6469</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4525635012</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4037154062.938436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3802707778.6936245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5925</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5929</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6478</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6490</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6493</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6498</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6502</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5890</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5912</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5913</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6464</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6493</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5894</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5934</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5890</v>
      </c>
      <c r="AJ466" s="186">
        <v>-22520813.151772</v>
      </c>
      <c r="AK466" s="147">
        <v>0</v>
      </c>
      <c r="AL466" s="147">
        <f>AK466+AL477</f>
        <v>0</v>
      </c>
      <c r="AM466" s="147">
        <f t="shared" si="109"/>
        <v>0</v>
      </c>
      <c r="AN466" s="147" t="s">
        <v>5900</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5890</v>
      </c>
      <c r="AJ467" s="115">
        <v>-204353015</v>
      </c>
      <c r="AK467" s="20">
        <v>0</v>
      </c>
      <c r="AL467" s="20">
        <f t="shared" ref="AL467:AL477" si="110">AK467+AL468</f>
        <v>41</v>
      </c>
      <c r="AM467" s="20">
        <f t="shared" ref="AM467:AM477" si="111">AJ467*AL467</f>
        <v>-8378473615</v>
      </c>
      <c r="AN467" s="20" t="s">
        <v>5901</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5890</v>
      </c>
      <c r="AJ468" s="115">
        <v>50000000</v>
      </c>
      <c r="AK468" s="20">
        <v>1</v>
      </c>
      <c r="AL468" s="20">
        <f t="shared" si="110"/>
        <v>41</v>
      </c>
      <c r="AM468" s="20">
        <f t="shared" si="111"/>
        <v>2050000000</v>
      </c>
      <c r="AN468" s="20" t="s">
        <v>5902</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5908</v>
      </c>
      <c r="AJ469" s="115">
        <v>50000000</v>
      </c>
      <c r="AK469" s="20">
        <v>8</v>
      </c>
      <c r="AL469" s="20">
        <f t="shared" si="110"/>
        <v>40</v>
      </c>
      <c r="AM469" s="20">
        <f t="shared" si="111"/>
        <v>2000000000</v>
      </c>
      <c r="AN469" s="20" t="s">
        <v>5902</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6460</v>
      </c>
      <c r="AJ470" s="115">
        <v>30000000</v>
      </c>
      <c r="AK470" s="20">
        <v>2</v>
      </c>
      <c r="AL470" s="20">
        <f t="shared" si="110"/>
        <v>32</v>
      </c>
      <c r="AM470" s="20">
        <f t="shared" si="111"/>
        <v>960000000</v>
      </c>
      <c r="AN470" s="20" t="s">
        <v>6462</v>
      </c>
    </row>
    <row r="471" spans="17:45">
      <c r="Q471" s="97" t="s">
        <v>5668</v>
      </c>
      <c r="R471" s="93">
        <v>47928209.377011999</v>
      </c>
      <c r="T471" s="19" t="s">
        <v>5872</v>
      </c>
      <c r="U471" s="19">
        <v>323</v>
      </c>
      <c r="V471" s="115">
        <v>1975.162028</v>
      </c>
      <c r="W471" s="115">
        <f t="shared" si="93"/>
        <v>637977.33504399995</v>
      </c>
      <c r="X471" s="264" t="s">
        <v>5116</v>
      </c>
      <c r="AH471" s="147">
        <v>203</v>
      </c>
      <c r="AI471" s="147" t="s">
        <v>6469</v>
      </c>
      <c r="AJ471" s="186">
        <v>20000000</v>
      </c>
      <c r="AK471" s="147">
        <v>29</v>
      </c>
      <c r="AL471" s="147">
        <f t="shared" si="110"/>
        <v>30</v>
      </c>
      <c r="AM471" s="147">
        <f t="shared" si="111"/>
        <v>600000000</v>
      </c>
      <c r="AN471" s="147" t="s">
        <v>6470</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6542</v>
      </c>
      <c r="AJ472" s="186">
        <v>-20000000</v>
      </c>
      <c r="AK472" s="147">
        <v>0</v>
      </c>
      <c r="AL472" s="147">
        <f t="shared" si="110"/>
        <v>1</v>
      </c>
      <c r="AM472" s="147">
        <f t="shared" si="111"/>
        <v>-20000000</v>
      </c>
      <c r="AN472" s="147" t="s">
        <v>6545</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6542</v>
      </c>
      <c r="AJ473" s="186">
        <v>2000000</v>
      </c>
      <c r="AK473" s="147">
        <v>1</v>
      </c>
      <c r="AL473" s="147">
        <f t="shared" si="110"/>
        <v>1</v>
      </c>
      <c r="AM473" s="147">
        <f t="shared" si="111"/>
        <v>2000000</v>
      </c>
      <c r="AN473" s="147" t="s">
        <v>6546</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5890</v>
      </c>
      <c r="U476" s="187">
        <v>11034</v>
      </c>
      <c r="V476" s="186">
        <v>1960.6845390000001</v>
      </c>
      <c r="W476" s="186">
        <f t="shared" si="93"/>
        <v>21634193.203326002</v>
      </c>
      <c r="X476" s="263" t="s">
        <v>5896</v>
      </c>
      <c r="Z476" t="s">
        <v>25</v>
      </c>
      <c r="AH476" s="20"/>
      <c r="AI476" s="20"/>
      <c r="AJ476" s="115"/>
      <c r="AK476" s="20"/>
      <c r="AL476" s="20">
        <f t="shared" si="110"/>
        <v>0</v>
      </c>
      <c r="AM476" s="20">
        <f t="shared" si="111"/>
        <v>0</v>
      </c>
      <c r="AN476" s="20"/>
    </row>
    <row r="477" spans="17:45" ht="30">
      <c r="Q477" s="97" t="s">
        <v>5680</v>
      </c>
      <c r="R477" s="93">
        <v>22866040.240959998</v>
      </c>
      <c r="T477" s="19" t="s">
        <v>5890</v>
      </c>
      <c r="U477" s="19">
        <v>4469</v>
      </c>
      <c r="V477" s="115">
        <v>1960.6845390000001</v>
      </c>
      <c r="W477" s="115">
        <f t="shared" si="93"/>
        <v>8762299.2047910001</v>
      </c>
      <c r="X477" s="264" t="s">
        <v>5897</v>
      </c>
      <c r="Z477" t="s">
        <v>25</v>
      </c>
      <c r="AH477" s="97"/>
      <c r="AI477" s="97"/>
      <c r="AJ477" s="115"/>
      <c r="AK477" s="97"/>
      <c r="AL477" s="20">
        <f t="shared" si="110"/>
        <v>0</v>
      </c>
      <c r="AM477" s="20">
        <f t="shared" si="111"/>
        <v>0</v>
      </c>
      <c r="AN477" s="20"/>
    </row>
    <row r="478" spans="17:45">
      <c r="Q478" s="97" t="s">
        <v>5682</v>
      </c>
      <c r="R478" s="93">
        <v>15359304.269892</v>
      </c>
      <c r="T478" s="19" t="s">
        <v>5890</v>
      </c>
      <c r="U478" s="19">
        <v>-174834</v>
      </c>
      <c r="V478" s="115">
        <v>1955.271154</v>
      </c>
      <c r="W478" s="115">
        <f t="shared" si="93"/>
        <v>-341847876.93843603</v>
      </c>
      <c r="X478" s="264" t="s">
        <v>5898</v>
      </c>
      <c r="AH478" s="97"/>
      <c r="AI478" s="97"/>
      <c r="AJ478" s="115"/>
      <c r="AK478" s="97"/>
      <c r="AL478" s="20">
        <f t="shared" si="106"/>
        <v>0</v>
      </c>
      <c r="AM478" s="20">
        <f t="shared" si="107"/>
        <v>0</v>
      </c>
      <c r="AN478" s="97"/>
    </row>
    <row r="479" spans="17:45">
      <c r="Q479" s="97" t="s">
        <v>5683</v>
      </c>
      <c r="R479" s="93">
        <v>2868508.1846330003</v>
      </c>
      <c r="T479" s="19" t="s">
        <v>5890</v>
      </c>
      <c r="U479" s="19">
        <v>-78942</v>
      </c>
      <c r="V479" s="115">
        <v>1955.271154</v>
      </c>
      <c r="W479" s="115">
        <f t="shared" si="93"/>
        <v>-154353015.43906799</v>
      </c>
      <c r="X479" s="264" t="s">
        <v>5899</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5890</v>
      </c>
      <c r="U480" s="187">
        <v>-11518</v>
      </c>
      <c r="V480" s="186">
        <v>1955.271154</v>
      </c>
      <c r="W480" s="186">
        <f t="shared" si="93"/>
        <v>-22520813.151772</v>
      </c>
      <c r="X480" s="263" t="s">
        <v>5900</v>
      </c>
      <c r="AJ480" t="s">
        <v>4043</v>
      </c>
      <c r="AM480" t="s">
        <v>284</v>
      </c>
      <c r="AN480" t="s">
        <v>928</v>
      </c>
    </row>
    <row r="481" spans="17:40">
      <c r="Q481" s="97" t="s">
        <v>5685</v>
      </c>
      <c r="R481" s="93">
        <v>31388943.254850004</v>
      </c>
      <c r="T481" s="19" t="s">
        <v>5912</v>
      </c>
      <c r="U481" s="19">
        <v>8622</v>
      </c>
      <c r="V481" s="115">
        <v>1930.4022150000001</v>
      </c>
      <c r="W481" s="115">
        <f t="shared" si="93"/>
        <v>16643927.89773</v>
      </c>
      <c r="X481" s="264" t="s">
        <v>744</v>
      </c>
      <c r="Z481" t="s">
        <v>25</v>
      </c>
    </row>
    <row r="482" spans="17:40">
      <c r="Q482" s="97" t="s">
        <v>5687</v>
      </c>
      <c r="R482" s="93">
        <v>30912095.373174001</v>
      </c>
      <c r="T482" s="19" t="s">
        <v>5913</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5925</v>
      </c>
      <c r="U483" s="19">
        <v>133</v>
      </c>
      <c r="V483" s="115">
        <v>1954.8389770000001</v>
      </c>
      <c r="W483" s="115">
        <f t="shared" si="93"/>
        <v>259993.58394100002</v>
      </c>
      <c r="X483" s="264" t="s">
        <v>5116</v>
      </c>
      <c r="AI483" t="s">
        <v>4048</v>
      </c>
      <c r="AJ483" s="112">
        <f>SUM(N20:N31)</f>
        <v>2956185119</v>
      </c>
    </row>
    <row r="484" spans="17:40">
      <c r="Q484" s="97" t="s">
        <v>5693</v>
      </c>
      <c r="R484" s="93">
        <v>34458590.308710001</v>
      </c>
      <c r="T484" s="19" t="s">
        <v>5929</v>
      </c>
      <c r="U484" s="19">
        <v>140</v>
      </c>
      <c r="V484" s="115">
        <v>1928.2522289999999</v>
      </c>
      <c r="W484" s="115">
        <f t="shared" si="93"/>
        <v>269955.31205999997</v>
      </c>
      <c r="X484" s="264" t="s">
        <v>5116</v>
      </c>
      <c r="Y484" t="s">
        <v>25</v>
      </c>
      <c r="AA484" t="s">
        <v>25</v>
      </c>
      <c r="AI484" t="s">
        <v>4118</v>
      </c>
      <c r="AJ484" s="112">
        <f>AJ483-AJ479</f>
        <v>2754392442.151772</v>
      </c>
    </row>
    <row r="485" spans="17:40">
      <c r="Q485" s="97" t="s">
        <v>5695</v>
      </c>
      <c r="R485" s="93">
        <v>21697868.203256</v>
      </c>
      <c r="T485" s="19" t="s">
        <v>6464</v>
      </c>
      <c r="U485" s="19">
        <v>15839</v>
      </c>
      <c r="V485" s="115">
        <v>1893.9957079999999</v>
      </c>
      <c r="W485" s="115">
        <f t="shared" si="93"/>
        <v>29998998.019012</v>
      </c>
      <c r="X485" s="264" t="s">
        <v>6462</v>
      </c>
      <c r="Z485" t="s">
        <v>25</v>
      </c>
      <c r="AI485" t="s">
        <v>928</v>
      </c>
      <c r="AJ485" s="112">
        <f>AN479</f>
        <v>121988037.54475237</v>
      </c>
    </row>
    <row r="486" spans="17:40">
      <c r="Q486" s="97" t="s">
        <v>5696</v>
      </c>
      <c r="R486" s="93">
        <v>25340079.252110001</v>
      </c>
      <c r="T486" s="19" t="s">
        <v>6469</v>
      </c>
      <c r="U486" s="19">
        <v>26601</v>
      </c>
      <c r="V486" s="115">
        <v>1880.082026</v>
      </c>
      <c r="W486" s="115">
        <f t="shared" si="93"/>
        <v>50012061.973626003</v>
      </c>
      <c r="X486" s="264" t="s">
        <v>5356</v>
      </c>
      <c r="AI486" t="s">
        <v>4049</v>
      </c>
      <c r="AJ486" s="112">
        <f>AJ484-AJ485</f>
        <v>2632404404.6070194</v>
      </c>
      <c r="AM486" t="s">
        <v>25</v>
      </c>
      <c r="AN486" t="s">
        <v>25</v>
      </c>
    </row>
    <row r="487" spans="17:40">
      <c r="Q487" s="97" t="s">
        <v>5699</v>
      </c>
      <c r="R487" s="93">
        <v>14780983.183526</v>
      </c>
      <c r="T487" s="187" t="s">
        <v>6469</v>
      </c>
      <c r="U487" s="187">
        <v>10637</v>
      </c>
      <c r="V487" s="186">
        <v>1880.082026</v>
      </c>
      <c r="W487" s="186">
        <f t="shared" si="93"/>
        <v>19998432.510561999</v>
      </c>
      <c r="X487" s="263" t="s">
        <v>6470</v>
      </c>
      <c r="Y487" t="s">
        <v>25</v>
      </c>
      <c r="AL487" t="s">
        <v>25</v>
      </c>
      <c r="AM487" t="s">
        <v>25</v>
      </c>
      <c r="AN487" t="s">
        <v>25</v>
      </c>
    </row>
    <row r="488" spans="17:40">
      <c r="Q488" s="97" t="s">
        <v>5699</v>
      </c>
      <c r="R488" s="93">
        <v>17804396.448481999</v>
      </c>
      <c r="T488" s="19" t="s">
        <v>6478</v>
      </c>
      <c r="U488" s="19">
        <v>306</v>
      </c>
      <c r="V488" s="115">
        <v>1831.8117119999999</v>
      </c>
      <c r="W488" s="115">
        <f t="shared" si="93"/>
        <v>560534.38387200003</v>
      </c>
      <c r="X488" s="264" t="s">
        <v>5116</v>
      </c>
      <c r="Y488" t="s">
        <v>25</v>
      </c>
    </row>
    <row r="489" spans="17:40">
      <c r="Q489" s="97" t="s">
        <v>5703</v>
      </c>
      <c r="R489" s="93">
        <v>260260000</v>
      </c>
      <c r="T489" s="19" t="s">
        <v>6490</v>
      </c>
      <c r="U489" s="19">
        <v>325</v>
      </c>
      <c r="V489" s="115">
        <v>1789.1845169999999</v>
      </c>
      <c r="W489" s="115">
        <f t="shared" si="93"/>
        <v>581484.96802499995</v>
      </c>
      <c r="X489" s="264" t="s">
        <v>5116</v>
      </c>
      <c r="Z489" t="s">
        <v>25</v>
      </c>
    </row>
    <row r="490" spans="17:40">
      <c r="Q490" s="97" t="s">
        <v>5704</v>
      </c>
      <c r="R490" s="93">
        <v>11538335.631417999</v>
      </c>
      <c r="T490" s="19" t="s">
        <v>6493</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6493</v>
      </c>
      <c r="U491" s="19">
        <v>3240</v>
      </c>
      <c r="V491" s="115">
        <v>1851.788857</v>
      </c>
      <c r="W491" s="115">
        <f t="shared" si="93"/>
        <v>5999795.8966800002</v>
      </c>
      <c r="X491" s="264" t="s">
        <v>6496</v>
      </c>
      <c r="AN491" t="s">
        <v>25</v>
      </c>
    </row>
    <row r="492" spans="17:40">
      <c r="Q492" s="97" t="s">
        <v>5716</v>
      </c>
      <c r="R492" s="93">
        <v>5031176.5087869996</v>
      </c>
      <c r="T492" s="19" t="s">
        <v>6493</v>
      </c>
      <c r="U492" s="19">
        <v>-3240</v>
      </c>
      <c r="V492" s="115">
        <v>1851.788857</v>
      </c>
      <c r="W492" s="115">
        <f t="shared" si="93"/>
        <v>-5999795.8966800002</v>
      </c>
      <c r="X492" s="264" t="s">
        <v>6497</v>
      </c>
      <c r="Z492" t="s">
        <v>25</v>
      </c>
      <c r="AA492" t="s">
        <v>25</v>
      </c>
      <c r="AB492" t="s">
        <v>25</v>
      </c>
    </row>
    <row r="493" spans="17:40">
      <c r="Q493" s="97" t="s">
        <v>5720</v>
      </c>
      <c r="R493" s="93">
        <v>6822803.9080700008</v>
      </c>
      <c r="T493" s="19" t="s">
        <v>6498</v>
      </c>
      <c r="U493" s="19">
        <v>330</v>
      </c>
      <c r="V493" s="115">
        <v>1799.34311</v>
      </c>
      <c r="W493" s="115">
        <f t="shared" si="93"/>
        <v>593783.22629999998</v>
      </c>
      <c r="X493" s="264" t="s">
        <v>5116</v>
      </c>
    </row>
    <row r="494" spans="17:40">
      <c r="Q494" s="97" t="s">
        <v>5730</v>
      </c>
      <c r="R494" s="93">
        <v>330889.73324399994</v>
      </c>
      <c r="T494" s="19" t="s">
        <v>6502</v>
      </c>
      <c r="U494" s="19">
        <v>266</v>
      </c>
      <c r="V494" s="115">
        <v>1764.9246700000001</v>
      </c>
      <c r="W494" s="115">
        <f t="shared" si="93"/>
        <v>469469.96222000004</v>
      </c>
      <c r="X494" s="264" t="s">
        <v>5116</v>
      </c>
      <c r="Y494" t="s">
        <v>25</v>
      </c>
      <c r="AA494" t="s">
        <v>25</v>
      </c>
    </row>
    <row r="495" spans="17:40">
      <c r="Q495" s="97" t="s">
        <v>5731</v>
      </c>
      <c r="R495" s="93">
        <v>6610318.1610199995</v>
      </c>
      <c r="T495" s="187" t="s">
        <v>6542</v>
      </c>
      <c r="U495" s="187">
        <v>-10637</v>
      </c>
      <c r="V495" s="186">
        <v>1739.5916549999999</v>
      </c>
      <c r="W495" s="186">
        <f t="shared" si="93"/>
        <v>-18504036.434234999</v>
      </c>
      <c r="X495" s="263" t="s">
        <v>6547</v>
      </c>
      <c r="Y495" t="s">
        <v>25</v>
      </c>
      <c r="AA495" t="s">
        <v>25</v>
      </c>
    </row>
    <row r="496" spans="17:40">
      <c r="Q496" s="97" t="s">
        <v>5733</v>
      </c>
      <c r="R496" s="93">
        <v>710713.17725199996</v>
      </c>
      <c r="T496" s="19" t="s">
        <v>6542</v>
      </c>
      <c r="U496" s="19">
        <v>10637</v>
      </c>
      <c r="V496" s="115">
        <v>1739.5916549999999</v>
      </c>
      <c r="W496" s="115">
        <f t="shared" si="93"/>
        <v>18504036.434234999</v>
      </c>
      <c r="X496" s="264" t="s">
        <v>6548</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1739.5916548929997</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-270.13351017075576</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7497220791</v>
      </c>
      <c r="V520" s="93">
        <f>U520-T520</f>
        <v>5100208183.2047968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5890</v>
      </c>
      <c r="R527" s="93">
        <v>8762299.2047910001</v>
      </c>
      <c r="T527" s="112">
        <f>V523+T525</f>
        <v>-4032375.0808932781</v>
      </c>
    </row>
    <row r="528" spans="16:24">
      <c r="Q528" s="97" t="s">
        <v>5890</v>
      </c>
      <c r="R528" s="93">
        <v>-341847876.93843603</v>
      </c>
      <c r="T528" t="s">
        <v>25</v>
      </c>
    </row>
    <row r="529" spans="17:24">
      <c r="Q529" s="97" t="s">
        <v>5925</v>
      </c>
      <c r="R529" s="93">
        <v>259993.58394100002</v>
      </c>
      <c r="T529" t="s">
        <v>25</v>
      </c>
      <c r="X529" s="112">
        <f>V537+V539</f>
        <v>22521440</v>
      </c>
    </row>
    <row r="530" spans="17:24">
      <c r="Q530" s="97" t="s">
        <v>5929</v>
      </c>
      <c r="R530" s="93">
        <v>269955.31205999997</v>
      </c>
      <c r="W530" s="94" t="s">
        <v>25</v>
      </c>
    </row>
    <row r="531" spans="17:24">
      <c r="Q531" s="97" t="s">
        <v>6478</v>
      </c>
      <c r="R531" s="93">
        <v>560534.38387200003</v>
      </c>
    </row>
    <row r="532" spans="17:24">
      <c r="Q532" s="97" t="s">
        <v>6490</v>
      </c>
      <c r="R532" s="93">
        <v>581484.96802499995</v>
      </c>
      <c r="T532" t="s">
        <v>25</v>
      </c>
    </row>
    <row r="533" spans="17:24">
      <c r="Q533" s="97" t="s">
        <v>6493</v>
      </c>
      <c r="R533" s="93">
        <v>2136964.3409779998</v>
      </c>
      <c r="T533" s="97" t="s">
        <v>4737</v>
      </c>
      <c r="U533" s="97"/>
      <c r="V533" s="97"/>
    </row>
    <row r="534" spans="17:24">
      <c r="Q534" s="97" t="s">
        <v>6498</v>
      </c>
      <c r="R534" s="93">
        <v>593783.22629999998</v>
      </c>
      <c r="T534" s="97" t="s">
        <v>452</v>
      </c>
      <c r="U534" s="97">
        <v>4217700</v>
      </c>
      <c r="V534" s="35">
        <f>U534*80</f>
        <v>337416000</v>
      </c>
      <c r="W534" s="94" t="s">
        <v>25</v>
      </c>
    </row>
    <row r="535" spans="17:24">
      <c r="Q535" s="97" t="s">
        <v>6502</v>
      </c>
      <c r="R535" s="93">
        <v>469469.96222000004</v>
      </c>
      <c r="T535" s="97" t="s">
        <v>5893</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9" sqref="R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1.4275862068965517</v>
      </c>
      <c r="J1" s="20">
        <f t="shared" ref="J1:J30" si="2">I1/H1</f>
        <v>1.1507608746992548</v>
      </c>
      <c r="K1" s="97">
        <f t="shared" ref="K1:K27" si="3">(1/J1-1.0256)*100</f>
        <v>-15.660973278975565</v>
      </c>
      <c r="L1" s="20"/>
      <c r="M1" s="20"/>
      <c r="N1" s="20">
        <v>1</v>
      </c>
      <c r="P1" s="94"/>
      <c r="Q1" s="67" t="s">
        <v>5924</v>
      </c>
      <c r="R1" s="317">
        <v>1786</v>
      </c>
      <c r="S1" s="94" t="s">
        <v>5870</v>
      </c>
      <c r="T1" s="94" t="s">
        <v>5871</v>
      </c>
      <c r="U1" s="94"/>
      <c r="V1" s="94"/>
      <c r="W1" s="94"/>
      <c r="X1" s="5" t="s">
        <v>6511</v>
      </c>
      <c r="Y1" s="5" t="s">
        <v>6512</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970</v>
      </c>
      <c r="S2" s="94">
        <v>80</v>
      </c>
      <c r="T2" s="112">
        <v>1099</v>
      </c>
      <c r="U2" s="94">
        <f>S2/T2</f>
        <v>7.2793448589626927E-2</v>
      </c>
      <c r="V2" s="94"/>
      <c r="W2" s="94"/>
      <c r="X2" s="5" t="s">
        <v>744</v>
      </c>
      <c r="Y2" s="5" t="s">
        <v>6513</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1214</v>
      </c>
      <c r="S3" s="113"/>
      <c r="T3" s="113"/>
      <c r="U3" s="113"/>
      <c r="V3" s="113"/>
      <c r="W3" s="113"/>
      <c r="X3" s="5" t="s">
        <v>1071</v>
      </c>
      <c r="Y3" s="35" t="s">
        <v>6514</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21.340206185567009</v>
      </c>
      <c r="J4" s="97">
        <f t="shared" si="2"/>
        <v>1.2051686198053819</v>
      </c>
      <c r="K4" s="97">
        <f t="shared" si="3"/>
        <v>-19.584059242308673</v>
      </c>
      <c r="L4" s="97"/>
      <c r="M4" s="97"/>
      <c r="N4" s="282">
        <v>1</v>
      </c>
      <c r="P4" s="113"/>
      <c r="Q4" s="97" t="s">
        <v>4357</v>
      </c>
      <c r="R4" s="298">
        <v>14500</v>
      </c>
      <c r="S4" s="113"/>
      <c r="T4" s="113"/>
      <c r="U4" s="113"/>
      <c r="X4" s="5" t="s">
        <v>452</v>
      </c>
      <c r="Y4" s="5" t="s">
        <v>6515</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21.340206185567009</v>
      </c>
      <c r="J5" s="97">
        <f t="shared" si="2"/>
        <v>1.1873289527358943</v>
      </c>
      <c r="K5" s="97">
        <f t="shared" si="3"/>
        <v>-18.337342269321656</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21.340206185567009</v>
      </c>
      <c r="J6" s="97">
        <f t="shared" si="2"/>
        <v>1.1774180265861791</v>
      </c>
      <c r="K6" s="97">
        <f t="shared" si="3"/>
        <v>-17.628397338928746</v>
      </c>
      <c r="L6" s="97"/>
      <c r="M6" s="97"/>
      <c r="N6" s="282">
        <f>H6/H5</f>
        <v>1.0084175084175084</v>
      </c>
      <c r="P6" s="113"/>
      <c r="Q6" s="67" t="s">
        <v>5886</v>
      </c>
      <c r="R6" s="303">
        <v>360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21.340206185567009</v>
      </c>
      <c r="J7" s="97">
        <f t="shared" si="2"/>
        <v>1.1734536561262929</v>
      </c>
      <c r="K7" s="97">
        <f t="shared" si="3"/>
        <v>-17.341466248857561</v>
      </c>
      <c r="L7" s="36"/>
      <c r="M7" s="97"/>
      <c r="N7" s="282">
        <f>H7/H6</f>
        <v>1.0033783783783783</v>
      </c>
      <c r="O7" s="94"/>
      <c r="P7" s="113"/>
      <c r="Q7" s="67" t="s">
        <v>6503</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21.340206185567009</v>
      </c>
      <c r="J8" s="97">
        <f t="shared" si="2"/>
        <v>1.1906188554188286</v>
      </c>
      <c r="K8" s="97">
        <f t="shared" si="3"/>
        <v>-18.570065232149712</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14.948453608247423</v>
      </c>
      <c r="J9" s="20">
        <f t="shared" si="2"/>
        <v>1.0690530153405264</v>
      </c>
      <c r="K9" s="20">
        <f t="shared" si="3"/>
        <v>-9.0192694982980761</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14.948453608247423</v>
      </c>
      <c r="J10" s="20">
        <f t="shared" si="2"/>
        <v>1.3002057846377799</v>
      </c>
      <c r="K10" s="20">
        <f t="shared" si="3"/>
        <v>-25.649097755507476</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14.948453608247423</v>
      </c>
      <c r="J11" s="20">
        <f t="shared" si="2"/>
        <v>1.2885819761940336</v>
      </c>
      <c r="K11" s="20">
        <f t="shared" si="3"/>
        <v>-24.955313726674323</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14.948453608247423</v>
      </c>
      <c r="J12" s="20">
        <f t="shared" si="2"/>
        <v>1.2761700657403257</v>
      </c>
      <c r="K12" s="20">
        <f t="shared" si="3"/>
        <v>-24.200537821275038</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14.948453608247423</v>
      </c>
      <c r="J13" s="20">
        <f t="shared" si="2"/>
        <v>1.2596350103027834</v>
      </c>
      <c r="K13" s="20">
        <f t="shared" si="3"/>
        <v>-23.171923944569784</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14.948453608247423</v>
      </c>
      <c r="J14" s="20">
        <f t="shared" si="2"/>
        <v>1.2699384419306525</v>
      </c>
      <c r="K14" s="20">
        <f t="shared" si="3"/>
        <v>-23.816025726748823</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14.948453608247423</v>
      </c>
      <c r="J15" s="20">
        <f t="shared" si="2"/>
        <v>1.2383888432797567</v>
      </c>
      <c r="K15" s="20">
        <f t="shared" si="3"/>
        <v>-21.809918519001382</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14.948453608247423</v>
      </c>
      <c r="J16" s="20">
        <f t="shared" si="2"/>
        <v>1.214360778349507</v>
      </c>
      <c r="K16" s="20">
        <f t="shared" si="3"/>
        <v>-20.212149358846599</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14.948453608247423</v>
      </c>
      <c r="J17" s="20">
        <f t="shared" si="2"/>
        <v>1.1917128952279865</v>
      </c>
      <c r="K17" s="20">
        <f t="shared" si="3"/>
        <v>-18.647171330919431</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14.948453608247423</v>
      </c>
      <c r="J18" s="20">
        <f t="shared" si="2"/>
        <v>1.1826711456040775</v>
      </c>
      <c r="K18" s="20">
        <f t="shared" si="3"/>
        <v>-18.005641527913831</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14.948453608247423</v>
      </c>
      <c r="J19" s="20">
        <f t="shared" si="2"/>
        <v>1.1613644857237126</v>
      </c>
      <c r="K19" s="20">
        <f t="shared" si="3"/>
        <v>-16.454387826329754</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14.948453608247423</v>
      </c>
      <c r="J20" s="20">
        <f t="shared" si="2"/>
        <v>1.0887400565494398</v>
      </c>
      <c r="K20" s="20">
        <f t="shared" si="3"/>
        <v>-10.710711091744439</v>
      </c>
      <c r="L20" s="20"/>
      <c r="M20" s="20"/>
      <c r="N20" s="20">
        <f t="shared" si="5"/>
        <v>1.0667050217702494</v>
      </c>
    </row>
    <row r="21" spans="1:24" ht="21">
      <c r="A21" s="300" t="s">
        <v>6478</v>
      </c>
      <c r="B21" s="60" t="s">
        <v>4357</v>
      </c>
      <c r="C21" s="49">
        <v>14499</v>
      </c>
      <c r="D21" s="60">
        <v>200</v>
      </c>
      <c r="E21" s="276" t="s">
        <v>4219</v>
      </c>
      <c r="F21" s="278">
        <v>1019</v>
      </c>
      <c r="G21" s="276">
        <f t="shared" si="0"/>
        <v>2810.0762499755424</v>
      </c>
      <c r="H21" s="277">
        <f t="shared" si="1"/>
        <v>14.22865554465162</v>
      </c>
      <c r="I21" s="281">
        <f t="shared" si="4"/>
        <v>14.948453608247423</v>
      </c>
      <c r="J21" s="20">
        <f t="shared" si="2"/>
        <v>1.0505879182567159</v>
      </c>
      <c r="K21" s="321">
        <f t="shared" si="3"/>
        <v>-7.375200839227114</v>
      </c>
      <c r="L21" s="20"/>
      <c r="M21" s="20"/>
      <c r="N21" s="20">
        <f>H21/H20</f>
        <v>1.0363150362094695</v>
      </c>
    </row>
    <row r="22" spans="1:24" ht="21">
      <c r="A22" s="276" t="s">
        <v>6533</v>
      </c>
      <c r="B22" s="276" t="s">
        <v>4219</v>
      </c>
      <c r="C22" s="278">
        <v>1030</v>
      </c>
      <c r="D22" s="276">
        <v>448</v>
      </c>
      <c r="E22" s="297" t="s">
        <v>5280</v>
      </c>
      <c r="F22" s="318">
        <v>1232.5</v>
      </c>
      <c r="G22" s="297">
        <f t="shared" si="0"/>
        <v>369.70264156140303</v>
      </c>
      <c r="H22" s="297">
        <f t="shared" si="1"/>
        <v>0.83569979716024345</v>
      </c>
      <c r="I22" s="297">
        <f>$R$2/$R$3</f>
        <v>0.79901153212520593</v>
      </c>
      <c r="J22" s="97">
        <f t="shared" si="2"/>
        <v>0.95609875081972451</v>
      </c>
      <c r="K22" s="320">
        <f t="shared" si="3"/>
        <v>2.0317065724263506</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11.943986820428336</v>
      </c>
      <c r="J23" s="97">
        <f t="shared" si="2"/>
        <v>1.1656329629461988</v>
      </c>
      <c r="K23" s="97">
        <f t="shared" si="3"/>
        <v>-16.769701356381759</v>
      </c>
      <c r="L23" s="97"/>
      <c r="M23" s="97"/>
      <c r="N23" s="97">
        <v>1</v>
      </c>
      <c r="P23">
        <f>I22/P22</f>
        <v>1.0026506580170385</v>
      </c>
      <c r="Q23" s="94">
        <f>I22/P22</f>
        <v>1.0026506580170385</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11.943986820428336</v>
      </c>
      <c r="J24" s="97">
        <f t="shared" si="2"/>
        <v>1.1544191961643124</v>
      </c>
      <c r="K24" s="320">
        <f t="shared" si="3"/>
        <v>-15.936353813015902</v>
      </c>
      <c r="L24" s="97" t="s">
        <v>25</v>
      </c>
      <c r="M24" s="97" t="s">
        <v>25</v>
      </c>
      <c r="N24" s="97">
        <f>H24/H23</f>
        <v>1.0097137736613746</v>
      </c>
      <c r="P24" s="112">
        <f>R3-R2</f>
        <v>244</v>
      </c>
      <c r="X24" t="s">
        <v>25</v>
      </c>
    </row>
    <row r="25" spans="1:24">
      <c r="A25" s="60" t="s">
        <v>6464</v>
      </c>
      <c r="B25" s="60" t="s">
        <v>4357</v>
      </c>
      <c r="C25" s="49">
        <v>14500</v>
      </c>
      <c r="D25" s="60">
        <v>32</v>
      </c>
      <c r="E25" s="150" t="s">
        <v>5924</v>
      </c>
      <c r="F25" s="230">
        <v>1973</v>
      </c>
      <c r="G25" s="150">
        <f t="shared" si="0"/>
        <v>232.22829744562071</v>
      </c>
      <c r="H25" s="150">
        <f t="shared" si="1"/>
        <v>7.3492143943233659</v>
      </c>
      <c r="I25" s="150">
        <f>$R$4/$R$1</f>
        <v>8.1187010078387463</v>
      </c>
      <c r="J25" s="97">
        <f t="shared" si="2"/>
        <v>1.104703247480403</v>
      </c>
      <c r="K25" s="97">
        <f t="shared" si="3"/>
        <v>-12.037952356817028</v>
      </c>
      <c r="L25" s="97"/>
      <c r="M25" s="97"/>
      <c r="N25" s="97">
        <v>1</v>
      </c>
    </row>
    <row r="26" spans="1:24" ht="21">
      <c r="A26" s="60" t="s">
        <v>6478</v>
      </c>
      <c r="B26" s="60" t="s">
        <v>4357</v>
      </c>
      <c r="C26" s="49">
        <v>14503</v>
      </c>
      <c r="D26" s="60">
        <v>200</v>
      </c>
      <c r="E26" s="150" t="s">
        <v>5924</v>
      </c>
      <c r="F26" s="230">
        <v>1898</v>
      </c>
      <c r="G26" s="150">
        <f t="shared" si="0"/>
        <v>1509.0925581296149</v>
      </c>
      <c r="H26" s="150">
        <f t="shared" si="1"/>
        <v>7.6412012644889353</v>
      </c>
      <c r="I26" s="150">
        <f>$R$4/$R$1</f>
        <v>8.1187010078387463</v>
      </c>
      <c r="J26" s="97">
        <f t="shared" si="2"/>
        <v>1.0624901408589906</v>
      </c>
      <c r="K26" s="320">
        <f t="shared" si="3"/>
        <v>-8.4414795973983718</v>
      </c>
      <c r="L26" s="97" t="s">
        <v>25</v>
      </c>
      <c r="M26" s="97" t="s">
        <v>25</v>
      </c>
      <c r="N26" s="97">
        <f>H26/H25</f>
        <v>1.039730351368046</v>
      </c>
      <c r="P26">
        <v>235</v>
      </c>
      <c r="R26" t="s">
        <v>25</v>
      </c>
      <c r="X26" t="s">
        <v>25</v>
      </c>
    </row>
    <row r="27" spans="1:24">
      <c r="A27" s="276" t="s">
        <v>6469</v>
      </c>
      <c r="B27" s="276" t="s">
        <v>4219</v>
      </c>
      <c r="C27" s="278">
        <v>1038</v>
      </c>
      <c r="D27" s="276">
        <v>100000</v>
      </c>
      <c r="E27" s="150" t="s">
        <v>5924</v>
      </c>
      <c r="F27" s="150">
        <v>1955</v>
      </c>
      <c r="G27" s="150">
        <f t="shared" si="0"/>
        <v>52429.393600945587</v>
      </c>
      <c r="H27" s="150">
        <f t="shared" si="1"/>
        <v>0.53094629156010231</v>
      </c>
      <c r="I27" s="150">
        <f>$R$2/$R$1</f>
        <v>0.54311310190369544</v>
      </c>
      <c r="J27" s="97">
        <f t="shared" si="2"/>
        <v>1.0229153316201585</v>
      </c>
      <c r="K27" s="97">
        <f t="shared" si="3"/>
        <v>-4.8001982756347701</v>
      </c>
      <c r="L27" s="97"/>
      <c r="M27" s="97"/>
      <c r="N27" s="97">
        <v>1</v>
      </c>
      <c r="R27">
        <f>369/G22</f>
        <v>0.99809944132821049</v>
      </c>
    </row>
    <row r="28" spans="1:24">
      <c r="A28" s="276" t="s">
        <v>6493</v>
      </c>
      <c r="B28" s="276" t="s">
        <v>4219</v>
      </c>
      <c r="C28" s="278">
        <v>1028</v>
      </c>
      <c r="D28" s="276">
        <v>1</v>
      </c>
      <c r="E28" s="150" t="s">
        <v>5924</v>
      </c>
      <c r="F28" s="150">
        <v>1862</v>
      </c>
      <c r="G28" s="150">
        <f t="shared" ref="G28" si="6">C28*D28*0.99114/(F28*1.0037158)</f>
        <v>0.54517719513256924</v>
      </c>
      <c r="H28" s="150">
        <f t="shared" ref="H28" si="7">C28/F28</f>
        <v>0.55209452201933407</v>
      </c>
      <c r="I28" s="150">
        <f>$R$2/$R$1</f>
        <v>0.54311310190369544</v>
      </c>
      <c r="J28" s="97">
        <f>I28/H28</f>
        <v>0.98373209702789965</v>
      </c>
      <c r="K28" s="97">
        <f>(1/J28-1.0256)*100</f>
        <v>-0.90630759520302639</v>
      </c>
      <c r="L28" s="97"/>
      <c r="M28" s="97"/>
      <c r="N28" s="97">
        <f>H28/H27</f>
        <v>1.0398312047666649</v>
      </c>
    </row>
    <row r="29" spans="1:24">
      <c r="A29" s="276" t="s">
        <v>6533</v>
      </c>
      <c r="B29" s="276" t="s">
        <v>4219</v>
      </c>
      <c r="C29" s="297">
        <v>1461.2</v>
      </c>
      <c r="D29" s="297">
        <v>8502</v>
      </c>
      <c r="E29" s="23" t="s">
        <v>5876</v>
      </c>
      <c r="F29" s="35">
        <v>410</v>
      </c>
      <c r="G29" s="23">
        <f>C29*D29*0.99114/(F29*1.00103)</f>
        <v>30000.936926516904</v>
      </c>
      <c r="H29" s="23">
        <f>C29/F29</f>
        <v>3.5639024390243903</v>
      </c>
      <c r="I29" s="23">
        <f>$R$3/$R$8</f>
        <v>7.5875000000000004</v>
      </c>
      <c r="J29" s="97">
        <f>I29/H29</f>
        <v>2.1289864494935671</v>
      </c>
      <c r="K29" s="97">
        <f>(1/J29-1.0146358)*100</f>
        <v>-54.492872401655475</v>
      </c>
      <c r="L29" s="97"/>
      <c r="M29" s="97"/>
      <c r="N29" s="97">
        <v>1</v>
      </c>
      <c r="S29" t="s">
        <v>25</v>
      </c>
    </row>
    <row r="30" spans="1:24">
      <c r="A30" s="297" t="s">
        <v>5874</v>
      </c>
      <c r="B30" s="297" t="s">
        <v>5280</v>
      </c>
      <c r="C30" s="49">
        <v>15396.7</v>
      </c>
      <c r="D30" s="60">
        <v>835.71</v>
      </c>
      <c r="E30" s="302" t="s">
        <v>5886</v>
      </c>
      <c r="F30" s="319">
        <v>490</v>
      </c>
      <c r="G30" s="302">
        <f>C30*D30*0.99114/(F30*1.00103)</f>
        <v>26000.103518373991</v>
      </c>
      <c r="H30" s="302">
        <f t="shared" si="1"/>
        <v>31.42183673469388</v>
      </c>
      <c r="I30" s="302">
        <f>$R$4/$R$6</f>
        <v>40.277777777777779</v>
      </c>
      <c r="J30" s="97">
        <f t="shared" si="2"/>
        <v>1.2818403366377931</v>
      </c>
      <c r="K30" s="97">
        <f>(1/J30-1.0146358)*100</f>
        <v>-23.45074396903588</v>
      </c>
      <c r="L30" s="97"/>
      <c r="M30" s="97"/>
      <c r="N30" s="97">
        <v>1</v>
      </c>
      <c r="S30" t="s">
        <v>25</v>
      </c>
    </row>
    <row r="31" spans="1:24">
      <c r="A31" s="60" t="s">
        <v>5885</v>
      </c>
      <c r="B31" s="60" t="s">
        <v>4357</v>
      </c>
      <c r="C31" s="113"/>
      <c r="D31" s="94"/>
      <c r="E31" s="94"/>
      <c r="F31" s="94"/>
      <c r="G31" s="94"/>
      <c r="H31" s="94"/>
      <c r="I31" s="94"/>
      <c r="J31" s="94"/>
      <c r="K31" s="94"/>
      <c r="L31" s="94"/>
      <c r="M31" s="94"/>
      <c r="N31" s="94"/>
      <c r="R31" t="s">
        <v>25</v>
      </c>
    </row>
    <row r="32" spans="1:24">
      <c r="A32" s="94"/>
      <c r="B32" s="113"/>
      <c r="C32" s="278">
        <v>1019</v>
      </c>
      <c r="D32" s="276">
        <v>10000</v>
      </c>
      <c r="E32" s="302" t="s">
        <v>5886</v>
      </c>
      <c r="F32" s="319">
        <v>390</v>
      </c>
      <c r="G32" s="302">
        <v>10000</v>
      </c>
      <c r="H32" s="302"/>
      <c r="I32" s="319">
        <f>C32*D32*0.99114-F32*G32*1.00125</f>
        <v>6194841.5999999996</v>
      </c>
      <c r="J32" s="97">
        <f>(G32*$R$6*0.99875+I32)/(R2*1.0037158)</f>
        <v>10055.770438308427</v>
      </c>
      <c r="K32" s="97">
        <f>J32-D32</f>
        <v>55.770438308427401</v>
      </c>
      <c r="L32" s="97"/>
      <c r="M32" s="97"/>
      <c r="N32" s="97"/>
      <c r="R32" t="s">
        <v>25</v>
      </c>
    </row>
    <row r="33" spans="1:20">
      <c r="A33" s="276" t="s">
        <v>6478</v>
      </c>
      <c r="B33" s="276" t="s">
        <v>4219</v>
      </c>
      <c r="C33" s="278">
        <v>990</v>
      </c>
      <c r="D33" s="276">
        <v>4000</v>
      </c>
      <c r="E33" s="302" t="s">
        <v>5886</v>
      </c>
      <c r="F33" s="319">
        <v>360</v>
      </c>
      <c r="G33" s="302">
        <v>4000</v>
      </c>
      <c r="H33" s="302"/>
      <c r="I33" s="319">
        <f>C33*D33*0.99114-F33*G33*1.00125</f>
        <v>2483114.4</v>
      </c>
      <c r="J33" s="97">
        <f>(G33*$R$6*0.99875+I33)/(R2*1.0037158)</f>
        <v>4027.6263111016624</v>
      </c>
      <c r="K33" s="97">
        <f>J33-D33</f>
        <v>27.626311101662395</v>
      </c>
      <c r="L33" s="97"/>
      <c r="M33" s="97"/>
      <c r="N33" s="97"/>
      <c r="T33" t="s">
        <v>25</v>
      </c>
    </row>
    <row r="34" spans="1:20">
      <c r="A34" s="276" t="s">
        <v>6502</v>
      </c>
      <c r="B34" s="276" t="s">
        <v>4219</v>
      </c>
      <c r="C34" s="278">
        <v>930</v>
      </c>
      <c r="D34" s="276">
        <v>158000</v>
      </c>
      <c r="E34" s="302" t="s">
        <v>5886</v>
      </c>
      <c r="F34" s="319">
        <v>300</v>
      </c>
      <c r="G34" s="302">
        <v>158000</v>
      </c>
      <c r="H34" s="302"/>
      <c r="I34" s="319">
        <f>C34*D34*0.99114-F34*G34*1.00125</f>
        <v>98178861.599999994</v>
      </c>
      <c r="J34" s="97">
        <f>(G34*$R$6*0.99875+I34)/(R2*1.0037158)</f>
        <v>159189.68051093069</v>
      </c>
      <c r="K34" s="97">
        <f>J34-D34</f>
        <v>1189.6805109306879</v>
      </c>
      <c r="L34" s="97"/>
      <c r="M34" s="97"/>
      <c r="N34" s="97"/>
      <c r="P34">
        <f>C32/F32</f>
        <v>2.6128205128205129</v>
      </c>
      <c r="Q34">
        <f>R2/R6</f>
        <v>2.6944444444444446</v>
      </c>
    </row>
    <row r="35" spans="1:20">
      <c r="A35" s="276" t="s">
        <v>6510</v>
      </c>
      <c r="B35" s="276" t="s">
        <v>4219</v>
      </c>
      <c r="C35" s="94"/>
      <c r="D35" s="94"/>
      <c r="E35" s="94"/>
      <c r="F35" s="94"/>
      <c r="G35" s="94" t="s">
        <v>6538</v>
      </c>
      <c r="H35" s="94"/>
      <c r="I35" s="94"/>
      <c r="J35" s="94"/>
      <c r="K35" s="94"/>
      <c r="L35" s="94"/>
      <c r="M35" s="94"/>
      <c r="N35" s="94"/>
      <c r="P35" s="112">
        <f>C32-F32</f>
        <v>629</v>
      </c>
      <c r="Q35" s="112">
        <f>R2-R6</f>
        <v>610</v>
      </c>
    </row>
    <row r="36" spans="1:20">
      <c r="A36" s="94"/>
      <c r="B36" s="94"/>
      <c r="C36" s="113"/>
      <c r="D36" s="113"/>
      <c r="E36" s="113"/>
      <c r="F36" s="113"/>
      <c r="G36" s="113"/>
      <c r="H36" s="113"/>
      <c r="I36" s="113"/>
      <c r="J36" s="113"/>
      <c r="K36" s="113"/>
      <c r="L36" s="113"/>
      <c r="M36" s="113"/>
      <c r="N36" s="113"/>
    </row>
    <row r="37" spans="1:20">
      <c r="A37" s="113"/>
      <c r="B37" s="113"/>
      <c r="C37" s="97"/>
      <c r="D37" s="97"/>
      <c r="E37" s="97"/>
      <c r="F37" s="97"/>
      <c r="G37" s="97"/>
      <c r="H37" s="97"/>
      <c r="I37" s="97"/>
      <c r="J37" s="97"/>
      <c r="K37" s="97"/>
      <c r="L37" s="97"/>
      <c r="M37" s="97"/>
      <c r="N37" s="97"/>
    </row>
    <row r="38" spans="1:20">
      <c r="A38" s="97" t="s">
        <v>5537</v>
      </c>
      <c r="B38" s="97"/>
      <c r="C38" s="274">
        <v>21532</v>
      </c>
      <c r="D38" s="274">
        <v>1859</v>
      </c>
      <c r="E38" s="276" t="s">
        <v>4219</v>
      </c>
      <c r="F38" s="276">
        <v>1187</v>
      </c>
      <c r="G38" s="276">
        <f>C38*D38*0.99114/(F38*1.0037158)</f>
        <v>33299.467209851166</v>
      </c>
      <c r="H38" s="276">
        <f>C38/F38</f>
        <v>18.139848357203032</v>
      </c>
      <c r="I38" s="276">
        <f>$R$5/$R$2</f>
        <v>21.340206185567009</v>
      </c>
      <c r="J38" s="97">
        <f>I38/H38</f>
        <v>1.1764269339712075</v>
      </c>
      <c r="K38" s="97">
        <f>(1/J38-1.0256)*100</f>
        <v>-17.55684586238192</v>
      </c>
      <c r="L38" s="97"/>
      <c r="M38" s="97"/>
      <c r="N38" s="97">
        <v>1</v>
      </c>
    </row>
    <row r="39" spans="1:20">
      <c r="A39" s="274" t="s">
        <v>5764</v>
      </c>
      <c r="B39" s="274" t="s">
        <v>4361</v>
      </c>
      <c r="C39" s="274">
        <v>22420.1</v>
      </c>
      <c r="D39" s="274">
        <v>1000</v>
      </c>
      <c r="E39" s="276" t="s">
        <v>4219</v>
      </c>
      <c r="F39" s="276">
        <v>1161</v>
      </c>
      <c r="G39" s="276">
        <f>C39*D39*0.99114/(F39*1.0037158)</f>
        <v>19069.072437793271</v>
      </c>
      <c r="H39" s="276">
        <f>C39/F39</f>
        <v>19.311024978466836</v>
      </c>
      <c r="I39" s="276">
        <f>$R$5/$R$2</f>
        <v>21.340206185567009</v>
      </c>
      <c r="J39" s="97">
        <f>I39/H39</f>
        <v>1.1050788971254946</v>
      </c>
      <c r="K39" s="97">
        <f>(1/J39-1.0256)*100</f>
        <v>-12.068723530855884</v>
      </c>
      <c r="L39" s="97" t="s">
        <v>25</v>
      </c>
      <c r="M39" s="97"/>
      <c r="N39" s="97">
        <f>H39/H38</f>
        <v>1.064563749277361</v>
      </c>
    </row>
    <row r="40" spans="1:20">
      <c r="A40" s="274" t="s">
        <v>5770</v>
      </c>
      <c r="B40" s="274" t="s">
        <v>4361</v>
      </c>
      <c r="C40" s="274">
        <v>23233.1</v>
      </c>
      <c r="D40" s="274">
        <v>1000</v>
      </c>
      <c r="E40" s="276" t="s">
        <v>4219</v>
      </c>
      <c r="F40" s="276">
        <v>1152</v>
      </c>
      <c r="G40" s="276">
        <f>C40*D40*0.99114/(F40*1.0037158)</f>
        <v>19914.936480069027</v>
      </c>
      <c r="H40" s="276">
        <f>C40/F40</f>
        <v>20.167621527777776</v>
      </c>
      <c r="I40" s="276">
        <f>$R$5/$R$2</f>
        <v>21.340206185567009</v>
      </c>
      <c r="J40" s="97">
        <f>I40/H40</f>
        <v>1.0581419408418677</v>
      </c>
      <c r="K40" s="97">
        <f>(1/J40-1.0256)*100</f>
        <v>-8.0547203770799936</v>
      </c>
      <c r="L40" s="97"/>
      <c r="M40" s="97"/>
      <c r="N40" s="97">
        <f>H40/H39</f>
        <v>1.0443579017823292</v>
      </c>
    </row>
    <row r="41" spans="1:20">
      <c r="A41" s="274" t="s">
        <v>5772</v>
      </c>
      <c r="B41" s="274" t="s">
        <v>4361</v>
      </c>
      <c r="C41" s="274">
        <v>23900</v>
      </c>
      <c r="D41" s="274">
        <v>1000</v>
      </c>
      <c r="E41" s="276" t="s">
        <v>4219</v>
      </c>
      <c r="F41" s="276">
        <v>1153</v>
      </c>
      <c r="G41" s="276">
        <f>C41*D41*0.99114/(F41*1.0037158)</f>
        <v>20468.821398374203</v>
      </c>
      <c r="H41" s="276">
        <f>C41/F41</f>
        <v>20.7285342584562</v>
      </c>
      <c r="I41" s="276">
        <f>$R$5/$R$2</f>
        <v>21.340206185567009</v>
      </c>
      <c r="J41" s="97">
        <f>I41/H41</f>
        <v>1.0295086917137557</v>
      </c>
      <c r="K41" s="97">
        <f>(1/J41-1.0256)*100</f>
        <v>-5.4262887405675642</v>
      </c>
      <c r="L41" s="97"/>
      <c r="M41" s="97"/>
      <c r="N41" s="97">
        <f>H41/H40</f>
        <v>1.0278125375322942</v>
      </c>
    </row>
    <row r="42" spans="1:20">
      <c r="A42" s="274" t="s">
        <v>5774</v>
      </c>
      <c r="B42" s="274" t="s">
        <v>4361</v>
      </c>
      <c r="C42" s="274">
        <v>22500</v>
      </c>
      <c r="D42" s="274">
        <v>2000</v>
      </c>
      <c r="E42" s="276" t="s">
        <v>4219</v>
      </c>
      <c r="F42" s="276">
        <v>1093</v>
      </c>
      <c r="G42" s="276">
        <f>C42*D42*0.99114/(F42*1.0037158)</f>
        <v>40655.246136679802</v>
      </c>
      <c r="H42" s="276">
        <f>C42/F42</f>
        <v>20.585544373284538</v>
      </c>
      <c r="I42" s="276">
        <f>$R$5/$R$2</f>
        <v>21.340206185567009</v>
      </c>
      <c r="J42" s="97">
        <f>I42/H42</f>
        <v>1.0366597938144329</v>
      </c>
      <c r="K42" s="97">
        <f>(1/J42-1.0256)*100</f>
        <v>-6.0963379609371815</v>
      </c>
      <c r="L42" s="97"/>
      <c r="M42" s="97"/>
      <c r="N42" s="97">
        <f>H42/H41</f>
        <v>0.99310178503753443</v>
      </c>
      <c r="R42" t="s">
        <v>25</v>
      </c>
    </row>
    <row r="43" spans="1:20">
      <c r="A43" s="274" t="s">
        <v>5787</v>
      </c>
      <c r="B43" s="274" t="s">
        <v>4361</v>
      </c>
      <c r="N43" s="94"/>
    </row>
    <row r="44" spans="1:20">
      <c r="A44" s="94"/>
      <c r="N44" s="94"/>
    </row>
    <row r="45" spans="1:20">
      <c r="A45" s="94"/>
    </row>
    <row r="46" spans="1:20">
      <c r="A46" s="94"/>
      <c r="C46" s="97"/>
      <c r="D46" s="97"/>
    </row>
    <row r="47" spans="1:20">
      <c r="A47" s="97"/>
      <c r="B47" s="97"/>
      <c r="C47" s="97">
        <v>199000</v>
      </c>
      <c r="D47" s="93">
        <f>C47*B48</f>
        <v>123380000</v>
      </c>
    </row>
    <row r="48" spans="1:20">
      <c r="A48" s="97" t="s">
        <v>5886</v>
      </c>
      <c r="B48" s="97">
        <v>620</v>
      </c>
      <c r="C48" s="97">
        <v>8000</v>
      </c>
      <c r="D48" s="93">
        <f>C48*B49</f>
        <v>5760000</v>
      </c>
      <c r="J48" t="s">
        <v>25</v>
      </c>
    </row>
    <row r="49" spans="1:19">
      <c r="A49" s="97" t="s">
        <v>6503</v>
      </c>
      <c r="B49" s="97">
        <v>720</v>
      </c>
      <c r="C49" s="97">
        <v>0</v>
      </c>
      <c r="D49" s="93">
        <f>C49*B50</f>
        <v>0</v>
      </c>
    </row>
    <row r="50" spans="1:19">
      <c r="A50" s="97" t="s">
        <v>5876</v>
      </c>
      <c r="B50" s="97">
        <v>820</v>
      </c>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c r="B60" s="97"/>
      <c r="C60" s="97"/>
      <c r="D60" s="97"/>
    </row>
    <row r="61" spans="1:19">
      <c r="A61" s="97" t="s">
        <v>6520</v>
      </c>
      <c r="B61" s="93">
        <v>88000000</v>
      </c>
      <c r="C61" s="97"/>
      <c r="D61" s="97"/>
    </row>
    <row r="62" spans="1:19">
      <c r="A62" s="97"/>
      <c r="B62" s="97"/>
      <c r="C62" s="97"/>
      <c r="D62" s="97"/>
    </row>
    <row r="63" spans="1:19">
      <c r="A63" s="97" t="s">
        <v>4595</v>
      </c>
      <c r="B63" s="93">
        <f>D58-B61</f>
        <v>41140000</v>
      </c>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5937</v>
      </c>
      <c r="B1" s="207" t="s">
        <v>4422</v>
      </c>
      <c r="C1" s="207" t="s">
        <v>6457</v>
      </c>
      <c r="D1" s="207" t="s">
        <v>5936</v>
      </c>
      <c r="E1" s="207" t="s">
        <v>4835</v>
      </c>
      <c r="F1" s="207" t="s">
        <v>5939</v>
      </c>
      <c r="G1" s="207" t="s">
        <v>5941</v>
      </c>
      <c r="H1" s="207"/>
      <c r="I1" s="207"/>
      <c r="J1" s="207"/>
      <c r="K1" s="207"/>
      <c r="L1" s="207" t="s">
        <v>6458</v>
      </c>
      <c r="M1" s="207">
        <v>10000000000</v>
      </c>
      <c r="N1" s="207"/>
      <c r="O1" s="207"/>
      <c r="P1" s="207"/>
      <c r="Q1" s="207"/>
      <c r="R1" s="207"/>
      <c r="S1" s="207"/>
      <c r="T1" s="207"/>
      <c r="U1" s="207"/>
      <c r="V1" s="207"/>
      <c r="W1" s="207"/>
      <c r="X1" s="207"/>
      <c r="Y1" s="207"/>
      <c r="Z1" s="207"/>
      <c r="AA1" s="207"/>
      <c r="AB1" s="207"/>
      <c r="AC1" s="207"/>
    </row>
    <row r="2" spans="1:29">
      <c r="A2" s="207" t="s">
        <v>5956</v>
      </c>
      <c r="B2" s="207">
        <v>52293239</v>
      </c>
      <c r="C2" s="207">
        <f t="shared" ref="C2:C33" si="0">D2+E2</f>
        <v>2605542578</v>
      </c>
      <c r="D2" s="207" t="s">
        <v>5957</v>
      </c>
      <c r="E2" s="207" t="s">
        <v>5958</v>
      </c>
      <c r="F2" s="207" t="s">
        <v>5959</v>
      </c>
      <c r="G2" s="207" t="s">
        <v>5960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5943</v>
      </c>
      <c r="B3" s="313">
        <v>39356047</v>
      </c>
      <c r="C3" s="207">
        <f t="shared" si="0"/>
        <v>3355161798</v>
      </c>
      <c r="D3" s="207" t="s">
        <v>5945</v>
      </c>
      <c r="E3" s="207" t="s">
        <v>5946</v>
      </c>
      <c r="F3" s="207" t="s">
        <v>5948</v>
      </c>
      <c r="G3" s="207" t="s">
        <v>5949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5983</v>
      </c>
      <c r="B4" s="313">
        <v>27272507</v>
      </c>
      <c r="C4" s="207">
        <f t="shared" si="0"/>
        <v>2003857980</v>
      </c>
      <c r="D4" s="207" t="s">
        <v>5957</v>
      </c>
      <c r="E4" s="179" t="s">
        <v>5984</v>
      </c>
      <c r="F4" s="207" t="s">
        <v>5985</v>
      </c>
      <c r="G4" s="207" t="s">
        <v>5986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5987</v>
      </c>
      <c r="B5" s="313">
        <v>17936330</v>
      </c>
      <c r="C5" s="207">
        <f t="shared" si="0"/>
        <v>4161561525</v>
      </c>
      <c r="D5" s="207" t="s">
        <v>5957</v>
      </c>
      <c r="E5" s="207" t="s">
        <v>5988</v>
      </c>
      <c r="F5" s="207" t="s">
        <v>5989</v>
      </c>
      <c r="G5" s="207" t="s">
        <v>5990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5967</v>
      </c>
      <c r="B6" s="313">
        <v>15219631</v>
      </c>
      <c r="C6" s="207">
        <f t="shared" si="0"/>
        <v>1037466348</v>
      </c>
      <c r="D6" s="207" t="s">
        <v>5969</v>
      </c>
      <c r="E6" s="207" t="s">
        <v>5970</v>
      </c>
      <c r="F6" s="179" t="s">
        <v>5971</v>
      </c>
      <c r="G6" s="207" t="s">
        <v>5972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6017</v>
      </c>
      <c r="B7" s="313">
        <v>12077909</v>
      </c>
      <c r="C7" s="207">
        <f t="shared" si="0"/>
        <v>499499998</v>
      </c>
      <c r="D7" s="207" t="s">
        <v>5957</v>
      </c>
      <c r="E7" s="207" t="s">
        <v>6018</v>
      </c>
      <c r="F7" s="207" t="s">
        <v>6019</v>
      </c>
      <c r="G7" s="207" t="s">
        <v>6020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6050</v>
      </c>
      <c r="B8" s="313">
        <v>11039958</v>
      </c>
      <c r="C8" s="207">
        <f t="shared" si="0"/>
        <v>2802020000</v>
      </c>
      <c r="D8" s="207" t="s">
        <v>5957</v>
      </c>
      <c r="E8" s="207" t="s">
        <v>6051</v>
      </c>
      <c r="F8" s="207" t="s">
        <v>6052</v>
      </c>
      <c r="G8" s="207" t="s">
        <v>6053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6007</v>
      </c>
      <c r="B9" s="313">
        <v>6743250</v>
      </c>
      <c r="C9" s="207">
        <f t="shared" si="0"/>
        <v>337500000</v>
      </c>
      <c r="D9" s="207" t="s">
        <v>5957</v>
      </c>
      <c r="E9" s="207" t="s">
        <v>6009</v>
      </c>
      <c r="F9" s="207" t="s">
        <v>6010</v>
      </c>
      <c r="G9" s="207" t="s">
        <v>6011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6041</v>
      </c>
      <c r="B10" s="313">
        <v>6591899</v>
      </c>
      <c r="C10" s="207">
        <f t="shared" si="0"/>
        <v>978026662</v>
      </c>
      <c r="D10" s="207" t="s">
        <v>5957</v>
      </c>
      <c r="E10" s="207" t="s">
        <v>6042</v>
      </c>
      <c r="F10" s="207" t="s">
        <v>6043</v>
      </c>
      <c r="G10" s="207" t="s">
        <v>6044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5950</v>
      </c>
      <c r="B11" s="313">
        <v>6515494</v>
      </c>
      <c r="C11" s="207">
        <f t="shared" si="0"/>
        <v>137024073</v>
      </c>
      <c r="D11" s="207" t="s">
        <v>5952</v>
      </c>
      <c r="E11" s="207" t="s">
        <v>5953</v>
      </c>
      <c r="F11" s="207" t="s">
        <v>5954</v>
      </c>
      <c r="G11" s="207" t="s">
        <v>5955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5961</v>
      </c>
      <c r="B12" s="313">
        <v>5962560</v>
      </c>
      <c r="C12" s="207">
        <f t="shared" si="0"/>
        <v>1242200000</v>
      </c>
      <c r="D12" s="207" t="s">
        <v>5963</v>
      </c>
      <c r="E12" s="207" t="s">
        <v>5964</v>
      </c>
      <c r="F12" s="207" t="s">
        <v>5965</v>
      </c>
      <c r="G12" s="207" t="s">
        <v>5966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6086</v>
      </c>
      <c r="B13" s="313">
        <v>4690527</v>
      </c>
      <c r="C13" s="207">
        <f t="shared" si="0"/>
        <v>623740333</v>
      </c>
      <c r="D13" s="207" t="s">
        <v>5957</v>
      </c>
      <c r="E13" s="207" t="s">
        <v>6087</v>
      </c>
      <c r="F13" s="207" t="s">
        <v>6088</v>
      </c>
      <c r="G13" s="207" t="s">
        <v>6089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6082</v>
      </c>
      <c r="B14" s="313">
        <v>4423541</v>
      </c>
      <c r="C14" s="207">
        <f t="shared" si="0"/>
        <v>118276522</v>
      </c>
      <c r="D14" s="207" t="s">
        <v>5957</v>
      </c>
      <c r="E14" s="207" t="s">
        <v>6083</v>
      </c>
      <c r="F14" s="207" t="s">
        <v>6084</v>
      </c>
      <c r="G14" s="207" t="s">
        <v>6085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6279</v>
      </c>
      <c r="B15" s="313">
        <v>4228226</v>
      </c>
      <c r="C15" s="207">
        <f t="shared" si="0"/>
        <v>106322321</v>
      </c>
      <c r="D15" s="207" t="s">
        <v>5957</v>
      </c>
      <c r="E15" s="207" t="s">
        <v>6280</v>
      </c>
      <c r="F15" s="207" t="s">
        <v>5957</v>
      </c>
      <c r="G15" s="207" t="s">
        <v>6281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6095</v>
      </c>
      <c r="B16" s="313">
        <v>3555770</v>
      </c>
      <c r="C16" s="207">
        <f t="shared" si="0"/>
        <v>183381668</v>
      </c>
      <c r="D16" s="207" t="s">
        <v>5957</v>
      </c>
      <c r="E16" s="207" t="s">
        <v>6096</v>
      </c>
      <c r="F16" s="207" t="s">
        <v>6097</v>
      </c>
      <c r="G16" s="207" t="s">
        <v>6098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6068</v>
      </c>
      <c r="B17" s="313">
        <v>3392316</v>
      </c>
      <c r="C17" s="207">
        <f t="shared" si="0"/>
        <v>1015663732</v>
      </c>
      <c r="D17" s="207" t="s">
        <v>5957</v>
      </c>
      <c r="E17" s="207" t="s">
        <v>6069</v>
      </c>
      <c r="F17" s="207" t="s">
        <v>6070</v>
      </c>
      <c r="G17" s="207" t="s">
        <v>6071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5991</v>
      </c>
      <c r="B18" s="313">
        <v>3321096</v>
      </c>
      <c r="C18" s="207">
        <f t="shared" si="0"/>
        <v>254880755</v>
      </c>
      <c r="D18" s="207" t="s">
        <v>5957</v>
      </c>
      <c r="E18" s="207" t="s">
        <v>5992</v>
      </c>
      <c r="F18" s="207" t="s">
        <v>5993</v>
      </c>
      <c r="G18" s="207" t="s">
        <v>5994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6037</v>
      </c>
      <c r="B19" s="313">
        <v>2708729</v>
      </c>
      <c r="C19" s="207">
        <f t="shared" si="0"/>
        <v>158220192</v>
      </c>
      <c r="D19" s="207" t="s">
        <v>5957</v>
      </c>
      <c r="E19" s="207" t="s">
        <v>6038</v>
      </c>
      <c r="F19" s="207" t="s">
        <v>6039</v>
      </c>
      <c r="G19" s="207" t="s">
        <v>6040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5979</v>
      </c>
      <c r="B20" s="313">
        <v>2623529</v>
      </c>
      <c r="C20" s="207">
        <f t="shared" si="0"/>
        <v>101805550</v>
      </c>
      <c r="D20" s="207" t="s">
        <v>5957</v>
      </c>
      <c r="E20" s="207" t="s">
        <v>5980</v>
      </c>
      <c r="F20" s="207" t="s">
        <v>5981</v>
      </c>
      <c r="G20" s="207" t="s">
        <v>5982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5973</v>
      </c>
      <c r="B21" s="313">
        <v>2224069</v>
      </c>
      <c r="C21" s="207">
        <f t="shared" si="0"/>
        <v>30270982</v>
      </c>
      <c r="D21" s="207" t="s">
        <v>5975</v>
      </c>
      <c r="E21" s="207" t="s">
        <v>5976</v>
      </c>
      <c r="F21" s="207" t="s">
        <v>5977</v>
      </c>
      <c r="G21" s="207" t="s">
        <v>5978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6099</v>
      </c>
      <c r="B22" s="314" t="s">
        <v>6100</v>
      </c>
      <c r="C22" s="207">
        <f t="shared" si="0"/>
        <v>114588426</v>
      </c>
      <c r="D22" s="207" t="s">
        <v>5957</v>
      </c>
      <c r="E22" s="207" t="s">
        <v>6101</v>
      </c>
      <c r="F22" s="207" t="s">
        <v>6102</v>
      </c>
      <c r="G22" s="207" t="s">
        <v>6103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6054</v>
      </c>
      <c r="B23" s="314" t="s">
        <v>6055</v>
      </c>
      <c r="C23" s="207">
        <f t="shared" si="0"/>
        <v>735760160</v>
      </c>
      <c r="D23" s="207" t="s">
        <v>6057</v>
      </c>
      <c r="E23" s="207" t="s">
        <v>6058</v>
      </c>
      <c r="F23" s="207" t="s">
        <v>6059</v>
      </c>
      <c r="G23" s="207" t="s">
        <v>6060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6216</v>
      </c>
      <c r="B24" s="314" t="s">
        <v>6217</v>
      </c>
      <c r="C24" s="207">
        <f t="shared" si="0"/>
        <v>4044500</v>
      </c>
      <c r="D24" s="207" t="s">
        <v>5957</v>
      </c>
      <c r="E24" s="207" t="s">
        <v>6218</v>
      </c>
      <c r="F24" s="207" t="s">
        <v>6202</v>
      </c>
      <c r="G24" s="207" t="s">
        <v>6219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6128</v>
      </c>
      <c r="B25" s="314" t="s">
        <v>6129</v>
      </c>
      <c r="C25" s="207">
        <f t="shared" si="0"/>
        <v>53400000</v>
      </c>
      <c r="D25" s="207" t="s">
        <v>5957</v>
      </c>
      <c r="E25" s="207" t="s">
        <v>6130</v>
      </c>
      <c r="F25" s="207" t="s">
        <v>6131</v>
      </c>
      <c r="G25" s="207" t="s">
        <v>6132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6002</v>
      </c>
      <c r="B26" s="314" t="s">
        <v>6003</v>
      </c>
      <c r="C26" s="207">
        <f t="shared" si="0"/>
        <v>36391574</v>
      </c>
      <c r="D26" s="207" t="s">
        <v>5957</v>
      </c>
      <c r="E26" s="207" t="s">
        <v>6004</v>
      </c>
      <c r="F26" s="207" t="s">
        <v>6005</v>
      </c>
      <c r="G26" s="207" t="s">
        <v>6006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6045</v>
      </c>
      <c r="B27" s="314" t="s">
        <v>6046</v>
      </c>
      <c r="C27" s="207">
        <f t="shared" si="0"/>
        <v>29296590</v>
      </c>
      <c r="D27" s="207" t="s">
        <v>5957</v>
      </c>
      <c r="E27" s="207" t="s">
        <v>6047</v>
      </c>
      <c r="F27" s="207" t="s">
        <v>6048</v>
      </c>
      <c r="G27" s="207" t="s">
        <v>6049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6144</v>
      </c>
      <c r="B28" s="314" t="s">
        <v>6145</v>
      </c>
      <c r="C28" s="207">
        <f t="shared" si="0"/>
        <v>32151333</v>
      </c>
      <c r="D28" s="207" t="s">
        <v>5957</v>
      </c>
      <c r="E28" s="207" t="s">
        <v>6146</v>
      </c>
      <c r="F28" s="207" t="s">
        <v>6147</v>
      </c>
      <c r="G28" s="207" t="s">
        <v>6148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5995</v>
      </c>
      <c r="B29" s="314" t="s">
        <v>5996</v>
      </c>
      <c r="C29" s="207">
        <f t="shared" si="0"/>
        <v>23043086</v>
      </c>
      <c r="D29" s="207" t="s">
        <v>5998</v>
      </c>
      <c r="E29" s="207" t="s">
        <v>5999</v>
      </c>
      <c r="F29" s="207" t="s">
        <v>6000</v>
      </c>
      <c r="G29" s="207" t="s">
        <v>6001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6108</v>
      </c>
      <c r="B30" s="314" t="s">
        <v>6109</v>
      </c>
      <c r="C30" s="207">
        <f t="shared" si="0"/>
        <v>126674402</v>
      </c>
      <c r="D30" s="207" t="s">
        <v>5957</v>
      </c>
      <c r="E30" s="207" t="s">
        <v>6110</v>
      </c>
      <c r="F30" s="207" t="s">
        <v>6111</v>
      </c>
      <c r="G30" s="207" t="s">
        <v>6112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6077</v>
      </c>
      <c r="B31" s="314" t="s">
        <v>6078</v>
      </c>
      <c r="C31" s="207">
        <f t="shared" si="0"/>
        <v>182160000</v>
      </c>
      <c r="D31" s="207" t="s">
        <v>5957</v>
      </c>
      <c r="E31" s="207" t="s">
        <v>6079</v>
      </c>
      <c r="F31" s="207" t="s">
        <v>6080</v>
      </c>
      <c r="G31" s="207" t="s">
        <v>6081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6123</v>
      </c>
      <c r="B32" s="314" t="s">
        <v>6124</v>
      </c>
      <c r="C32" s="207">
        <f t="shared" si="0"/>
        <v>67919940</v>
      </c>
      <c r="D32" s="207" t="s">
        <v>5957</v>
      </c>
      <c r="E32" s="207" t="s">
        <v>6125</v>
      </c>
      <c r="F32" s="207" t="s">
        <v>6126</v>
      </c>
      <c r="G32" s="207" t="s">
        <v>6127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6149</v>
      </c>
      <c r="B33" s="314" t="s">
        <v>6150</v>
      </c>
      <c r="C33" s="207">
        <f t="shared" si="0"/>
        <v>29288000</v>
      </c>
      <c r="D33" s="207" t="s">
        <v>5957</v>
      </c>
      <c r="E33" s="207" t="s">
        <v>6151</v>
      </c>
      <c r="F33" s="207" t="s">
        <v>6152</v>
      </c>
      <c r="G33" s="207" t="s">
        <v>6153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6159</v>
      </c>
      <c r="B34" s="314" t="s">
        <v>6160</v>
      </c>
      <c r="C34" s="207">
        <f t="shared" ref="C34:C65" si="4">D34+E34</f>
        <v>259990000</v>
      </c>
      <c r="D34" s="207" t="s">
        <v>5957</v>
      </c>
      <c r="E34" s="207" t="s">
        <v>6161</v>
      </c>
      <c r="F34" s="207" t="s">
        <v>6162</v>
      </c>
      <c r="G34" s="207" t="s">
        <v>6163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6113</v>
      </c>
      <c r="B35" s="314" t="s">
        <v>6114</v>
      </c>
      <c r="C35" s="207">
        <f t="shared" si="4"/>
        <v>6208016</v>
      </c>
      <c r="D35" s="207" t="s">
        <v>5957</v>
      </c>
      <c r="E35" s="207" t="s">
        <v>6115</v>
      </c>
      <c r="F35" s="207" t="s">
        <v>6116</v>
      </c>
      <c r="G35" s="207" t="s">
        <v>6117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6025</v>
      </c>
      <c r="B36" s="314" t="s">
        <v>6026</v>
      </c>
      <c r="C36" s="207">
        <f t="shared" si="4"/>
        <v>39242697</v>
      </c>
      <c r="D36" s="207" t="s">
        <v>6027</v>
      </c>
      <c r="E36" s="207" t="s">
        <v>6028</v>
      </c>
      <c r="F36" s="207" t="s">
        <v>6029</v>
      </c>
      <c r="G36" s="207" t="s">
        <v>6030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6154</v>
      </c>
      <c r="B37" s="314" t="s">
        <v>6155</v>
      </c>
      <c r="C37" s="207">
        <f t="shared" si="4"/>
        <v>24338461</v>
      </c>
      <c r="D37" s="207" t="s">
        <v>5957</v>
      </c>
      <c r="E37" s="207" t="s">
        <v>6156</v>
      </c>
      <c r="F37" s="207" t="s">
        <v>6157</v>
      </c>
      <c r="G37" s="207" t="s">
        <v>6158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6031</v>
      </c>
      <c r="B38" s="314" t="s">
        <v>6032</v>
      </c>
      <c r="C38" s="207">
        <f t="shared" si="4"/>
        <v>35697979</v>
      </c>
      <c r="D38" s="207" t="s">
        <v>5957</v>
      </c>
      <c r="E38" s="207" t="s">
        <v>6034</v>
      </c>
      <c r="F38" s="207" t="s">
        <v>6035</v>
      </c>
      <c r="G38" s="207" t="s">
        <v>6036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6061</v>
      </c>
      <c r="B39" s="314" t="s">
        <v>6062</v>
      </c>
      <c r="C39" s="207">
        <f t="shared" si="4"/>
        <v>30949707</v>
      </c>
      <c r="D39" s="207" t="s">
        <v>6064</v>
      </c>
      <c r="E39" s="207" t="s">
        <v>6065</v>
      </c>
      <c r="F39" s="207" t="s">
        <v>6066</v>
      </c>
      <c r="G39" s="207" t="s">
        <v>6067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6021</v>
      </c>
      <c r="B40" s="314" t="s">
        <v>6022</v>
      </c>
      <c r="C40" s="207">
        <f t="shared" si="4"/>
        <v>11270740</v>
      </c>
      <c r="D40" s="207" t="s">
        <v>5957</v>
      </c>
      <c r="E40" s="207" t="s">
        <v>6023</v>
      </c>
      <c r="F40" s="207" t="s">
        <v>6024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6170</v>
      </c>
      <c r="B41" s="314" t="s">
        <v>6171</v>
      </c>
      <c r="C41" s="207">
        <f t="shared" si="4"/>
        <v>15600000</v>
      </c>
      <c r="D41" s="207" t="s">
        <v>5957</v>
      </c>
      <c r="E41" s="207" t="s">
        <v>6172</v>
      </c>
      <c r="F41" s="207" t="s">
        <v>6173</v>
      </c>
      <c r="G41" s="207" t="s">
        <v>6174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6012</v>
      </c>
      <c r="B42" s="314" t="s">
        <v>6013</v>
      </c>
      <c r="C42" s="207">
        <f t="shared" si="4"/>
        <v>14702520</v>
      </c>
      <c r="D42" s="207" t="s">
        <v>5957</v>
      </c>
      <c r="E42" s="207" t="s">
        <v>6014</v>
      </c>
      <c r="F42" s="207" t="s">
        <v>6015</v>
      </c>
      <c r="G42" s="207" t="s">
        <v>6016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6090</v>
      </c>
      <c r="B43" s="314" t="s">
        <v>6091</v>
      </c>
      <c r="C43" s="207">
        <f t="shared" si="4"/>
        <v>13930853</v>
      </c>
      <c r="D43" s="207" t="s">
        <v>5957</v>
      </c>
      <c r="E43" s="207" t="s">
        <v>6092</v>
      </c>
      <c r="F43" s="207" t="s">
        <v>6093</v>
      </c>
      <c r="G43" s="207" t="s">
        <v>6094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6072</v>
      </c>
      <c r="B44" s="314" t="s">
        <v>6073</v>
      </c>
      <c r="C44" s="207">
        <f t="shared" si="4"/>
        <v>68500000</v>
      </c>
      <c r="D44" s="207" t="s">
        <v>5957</v>
      </c>
      <c r="E44" s="207" t="s">
        <v>6074</v>
      </c>
      <c r="F44" s="207" t="s">
        <v>6075</v>
      </c>
      <c r="G44" s="207" t="s">
        <v>6076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6175</v>
      </c>
      <c r="B45" s="314" t="s">
        <v>6176</v>
      </c>
      <c r="C45" s="207">
        <f t="shared" si="4"/>
        <v>3000000</v>
      </c>
      <c r="D45" s="207" t="s">
        <v>5957</v>
      </c>
      <c r="E45" s="207" t="s">
        <v>6005</v>
      </c>
      <c r="F45" s="207" t="s">
        <v>6177</v>
      </c>
      <c r="G45" s="207" t="s">
        <v>6178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6194</v>
      </c>
      <c r="B46" s="314" t="s">
        <v>6195</v>
      </c>
      <c r="C46" s="207">
        <f t="shared" si="4"/>
        <v>12400000</v>
      </c>
      <c r="D46" s="207" t="s">
        <v>5957</v>
      </c>
      <c r="E46" s="207" t="s">
        <v>6196</v>
      </c>
      <c r="F46" s="207" t="s">
        <v>6197</v>
      </c>
      <c r="G46" s="207" t="s">
        <v>6198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6104</v>
      </c>
      <c r="B47" s="314" t="s">
        <v>6105</v>
      </c>
      <c r="C47" s="207">
        <f t="shared" si="4"/>
        <v>25000000</v>
      </c>
      <c r="D47" s="207" t="s">
        <v>5957</v>
      </c>
      <c r="E47" s="207" t="s">
        <v>6024</v>
      </c>
      <c r="F47" s="207" t="s">
        <v>6106</v>
      </c>
      <c r="G47" s="207" t="s">
        <v>6107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6179</v>
      </c>
      <c r="B48" s="314" t="s">
        <v>6180</v>
      </c>
      <c r="C48" s="207">
        <f t="shared" si="4"/>
        <v>29000000</v>
      </c>
      <c r="D48" s="207" t="s">
        <v>5957</v>
      </c>
      <c r="E48" s="207" t="s">
        <v>6181</v>
      </c>
      <c r="F48" s="207" t="s">
        <v>6182</v>
      </c>
      <c r="G48" s="207" t="s">
        <v>6183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6207</v>
      </c>
      <c r="B49" s="314" t="s">
        <v>6208</v>
      </c>
      <c r="C49" s="207">
        <f t="shared" si="4"/>
        <v>12691397</v>
      </c>
      <c r="D49" s="207" t="s">
        <v>5957</v>
      </c>
      <c r="E49" s="207" t="s">
        <v>6209</v>
      </c>
      <c r="F49" s="207" t="s">
        <v>6210</v>
      </c>
      <c r="G49" s="207" t="s">
        <v>6211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6199</v>
      </c>
      <c r="B50" s="314" t="s">
        <v>6200</v>
      </c>
      <c r="C50" s="207">
        <f t="shared" si="4"/>
        <v>4639508</v>
      </c>
      <c r="D50" s="207" t="s">
        <v>5957</v>
      </c>
      <c r="E50" s="207" t="s">
        <v>6201</v>
      </c>
      <c r="F50" s="207" t="s">
        <v>6202</v>
      </c>
      <c r="G50" s="207" t="s">
        <v>6203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6139</v>
      </c>
      <c r="B51" s="314" t="s">
        <v>6140</v>
      </c>
      <c r="C51" s="207">
        <f t="shared" si="4"/>
        <v>9242699</v>
      </c>
      <c r="D51" s="207" t="s">
        <v>5957</v>
      </c>
      <c r="E51" s="207" t="s">
        <v>6141</v>
      </c>
      <c r="F51" s="207" t="s">
        <v>6142</v>
      </c>
      <c r="G51" s="207" t="s">
        <v>6143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6133</v>
      </c>
      <c r="B52" s="314" t="s">
        <v>6134</v>
      </c>
      <c r="C52" s="207">
        <f t="shared" si="4"/>
        <v>12000000</v>
      </c>
      <c r="D52" s="207" t="s">
        <v>5957</v>
      </c>
      <c r="E52" s="207" t="s">
        <v>6136</v>
      </c>
      <c r="F52" s="207" t="s">
        <v>6137</v>
      </c>
      <c r="G52" s="207" t="s">
        <v>6138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6189</v>
      </c>
      <c r="B53" s="314" t="s">
        <v>6190</v>
      </c>
      <c r="C53" s="207">
        <f t="shared" si="4"/>
        <v>18333333</v>
      </c>
      <c r="D53" s="207" t="s">
        <v>5957</v>
      </c>
      <c r="E53" s="207" t="s">
        <v>6191</v>
      </c>
      <c r="F53" s="207" t="s">
        <v>6192</v>
      </c>
      <c r="G53" s="207" t="s">
        <v>6193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6164</v>
      </c>
      <c r="B54" s="314" t="s">
        <v>6165</v>
      </c>
      <c r="C54" s="207">
        <f t="shared" si="4"/>
        <v>10686057</v>
      </c>
      <c r="D54" s="207" t="s">
        <v>6166</v>
      </c>
      <c r="E54" s="207" t="s">
        <v>6167</v>
      </c>
      <c r="F54" s="207" t="s">
        <v>6168</v>
      </c>
      <c r="G54" s="207" t="s">
        <v>6169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6118</v>
      </c>
      <c r="B55" s="314" t="s">
        <v>6119</v>
      </c>
      <c r="C55" s="207">
        <f t="shared" si="4"/>
        <v>6210524</v>
      </c>
      <c r="D55" s="207" t="s">
        <v>5957</v>
      </c>
      <c r="E55" s="207" t="s">
        <v>6120</v>
      </c>
      <c r="F55" s="207" t="s">
        <v>6121</v>
      </c>
      <c r="G55" s="207" t="s">
        <v>6122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6243</v>
      </c>
      <c r="B56" s="314" t="s">
        <v>6244</v>
      </c>
      <c r="C56" s="207">
        <f t="shared" si="4"/>
        <v>2660000</v>
      </c>
      <c r="D56" s="207" t="s">
        <v>5957</v>
      </c>
      <c r="E56" s="207" t="s">
        <v>6245</v>
      </c>
      <c r="F56" s="207" t="s">
        <v>6246</v>
      </c>
      <c r="G56" s="207" t="s">
        <v>6247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6220</v>
      </c>
      <c r="B57" s="314" t="s">
        <v>6221</v>
      </c>
      <c r="C57" s="207">
        <f t="shared" si="4"/>
        <v>4333333</v>
      </c>
      <c r="D57" s="207" t="s">
        <v>5957</v>
      </c>
      <c r="E57" s="207" t="s">
        <v>6222</v>
      </c>
      <c r="F57" s="207" t="s">
        <v>6223</v>
      </c>
      <c r="G57" s="207" t="s">
        <v>6224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6225</v>
      </c>
      <c r="B58" s="314" t="s">
        <v>6226</v>
      </c>
      <c r="C58" s="207">
        <f t="shared" si="4"/>
        <v>469533</v>
      </c>
      <c r="D58" s="207" t="s">
        <v>5957</v>
      </c>
      <c r="E58" s="207" t="s">
        <v>6227</v>
      </c>
      <c r="F58" s="207" t="s">
        <v>6228</v>
      </c>
      <c r="G58" s="207" t="s">
        <v>6229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6272</v>
      </c>
      <c r="B59" s="314" t="s">
        <v>6271</v>
      </c>
      <c r="C59" s="207">
        <f t="shared" si="4"/>
        <v>5076558</v>
      </c>
      <c r="D59" s="207" t="s">
        <v>6273</v>
      </c>
      <c r="E59" s="207" t="s">
        <v>5957</v>
      </c>
      <c r="F59" s="207" t="s">
        <v>6210</v>
      </c>
      <c r="G59" s="207" t="s">
        <v>6274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5950</v>
      </c>
      <c r="B60" s="314" t="s">
        <v>6212</v>
      </c>
      <c r="C60" s="207">
        <f t="shared" si="4"/>
        <v>1144000</v>
      </c>
      <c r="D60" s="207" t="s">
        <v>5957</v>
      </c>
      <c r="E60" s="207" t="s">
        <v>6213</v>
      </c>
      <c r="F60" s="207" t="s">
        <v>6214</v>
      </c>
      <c r="G60" s="207" t="s">
        <v>6215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6184</v>
      </c>
      <c r="B61" s="314" t="s">
        <v>6185</v>
      </c>
      <c r="C61" s="207">
        <f t="shared" si="4"/>
        <v>2000000</v>
      </c>
      <c r="D61" s="207" t="s">
        <v>5957</v>
      </c>
      <c r="E61" s="207" t="s">
        <v>6186</v>
      </c>
      <c r="F61" s="207" t="s">
        <v>6187</v>
      </c>
      <c r="G61" s="207" t="s">
        <v>6188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6234</v>
      </c>
      <c r="B62" s="314" t="s">
        <v>6235</v>
      </c>
      <c r="C62" s="207">
        <f t="shared" si="4"/>
        <v>1469425</v>
      </c>
      <c r="D62" s="207" t="s">
        <v>5957</v>
      </c>
      <c r="E62" s="207" t="s">
        <v>6236</v>
      </c>
      <c r="F62" s="207" t="s">
        <v>6237</v>
      </c>
      <c r="G62" s="207" t="s">
        <v>6238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6230</v>
      </c>
      <c r="B63" s="314" t="s">
        <v>6231</v>
      </c>
      <c r="C63" s="207">
        <f t="shared" si="4"/>
        <v>1888175</v>
      </c>
      <c r="D63" s="207" t="s">
        <v>5957</v>
      </c>
      <c r="E63" s="207" t="s">
        <v>6232</v>
      </c>
      <c r="F63" s="207" t="s">
        <v>6024</v>
      </c>
      <c r="G63" s="207" t="s">
        <v>6233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5947</v>
      </c>
      <c r="B64" s="314" t="s">
        <v>6204</v>
      </c>
      <c r="C64" s="207">
        <f t="shared" si="4"/>
        <v>15200000</v>
      </c>
      <c r="D64" s="207" t="s">
        <v>5957</v>
      </c>
      <c r="E64" s="207" t="s">
        <v>6205</v>
      </c>
      <c r="F64" s="207" t="s">
        <v>6043</v>
      </c>
      <c r="G64" s="207" t="s">
        <v>6206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6248</v>
      </c>
      <c r="B65" s="314" t="s">
        <v>6249</v>
      </c>
      <c r="C65" s="207">
        <f t="shared" si="4"/>
        <v>364567</v>
      </c>
      <c r="D65" s="207" t="s">
        <v>5957</v>
      </c>
      <c r="E65" s="207" t="s">
        <v>6250</v>
      </c>
      <c r="F65" s="207" t="s">
        <v>6147</v>
      </c>
      <c r="G65" s="207" t="s">
        <v>6251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6239</v>
      </c>
      <c r="B66" s="314" t="s">
        <v>6240</v>
      </c>
      <c r="C66" s="207">
        <f t="shared" ref="C66:C70" si="5">D66+E66</f>
        <v>474991</v>
      </c>
      <c r="D66" s="207" t="s">
        <v>5957</v>
      </c>
      <c r="E66" s="207" t="s">
        <v>6241</v>
      </c>
      <c r="F66" s="207" t="s">
        <v>6088</v>
      </c>
      <c r="G66" s="207" t="s">
        <v>6242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6258</v>
      </c>
      <c r="B67" s="314" t="s">
        <v>6259</v>
      </c>
      <c r="C67" s="207">
        <f t="shared" si="5"/>
        <v>35981</v>
      </c>
      <c r="D67" s="207" t="s">
        <v>5957</v>
      </c>
      <c r="E67" s="207" t="s">
        <v>6260</v>
      </c>
      <c r="F67" s="207" t="s">
        <v>6261</v>
      </c>
      <c r="G67" s="207" t="s">
        <v>6262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6252</v>
      </c>
      <c r="B68" s="314" t="s">
        <v>6253</v>
      </c>
      <c r="C68" s="207">
        <f t="shared" si="5"/>
        <v>3000</v>
      </c>
      <c r="D68" s="207" t="s">
        <v>6255</v>
      </c>
      <c r="E68" s="207" t="s">
        <v>6256</v>
      </c>
      <c r="F68" s="207" t="s">
        <v>6043</v>
      </c>
      <c r="G68" s="207" t="s">
        <v>6257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6263</v>
      </c>
      <c r="B69" s="314" t="s">
        <v>6264</v>
      </c>
      <c r="C69" s="207">
        <f t="shared" si="5"/>
        <v>2666</v>
      </c>
      <c r="D69" s="207" t="s">
        <v>5957</v>
      </c>
      <c r="E69" s="207" t="s">
        <v>6266</v>
      </c>
      <c r="F69" s="207" t="s">
        <v>6088</v>
      </c>
      <c r="G69" s="207" t="s">
        <v>6267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6268</v>
      </c>
      <c r="B70" s="314" t="s">
        <v>5957</v>
      </c>
      <c r="C70" s="207">
        <f t="shared" si="5"/>
        <v>0</v>
      </c>
      <c r="D70" s="207" t="s">
        <v>6269</v>
      </c>
      <c r="E70" s="207" t="s">
        <v>6057</v>
      </c>
      <c r="F70" s="207" t="s">
        <v>6059</v>
      </c>
      <c r="G70" s="207" t="s">
        <v>6270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6275</v>
      </c>
      <c r="B71" s="314" t="s">
        <v>5957</v>
      </c>
      <c r="C71" s="207"/>
      <c r="D71" s="207" t="s">
        <v>5957</v>
      </c>
      <c r="E71" s="207" t="s">
        <v>6276</v>
      </c>
      <c r="F71" s="207" t="s">
        <v>6277</v>
      </c>
      <c r="G71" s="207" t="s">
        <v>6278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5942</v>
      </c>
      <c r="I82" s="207" t="s">
        <v>191</v>
      </c>
      <c r="J82" s="207" t="s">
        <v>6459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6282</v>
      </c>
      <c r="C1" s="207"/>
      <c r="D1" s="207"/>
      <c r="E1" s="207"/>
      <c r="F1" s="207"/>
      <c r="G1" s="207"/>
      <c r="H1" s="207"/>
      <c r="I1" s="207"/>
      <c r="J1" s="207"/>
      <c r="K1" s="207"/>
      <c r="L1" s="207"/>
      <c r="M1" s="207"/>
      <c r="N1" s="207"/>
      <c r="O1" s="207"/>
      <c r="P1" s="207"/>
      <c r="Q1" s="207"/>
      <c r="R1" s="207"/>
      <c r="S1" s="207"/>
      <c r="T1" s="207"/>
      <c r="U1" s="207" t="s">
        <v>6283</v>
      </c>
      <c r="V1" s="207"/>
      <c r="W1" s="207"/>
      <c r="X1" s="207"/>
      <c r="Y1" s="207" t="s">
        <v>5939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5940</v>
      </c>
      <c r="D2" s="207"/>
      <c r="E2" s="207"/>
      <c r="F2" s="207" t="s">
        <v>5938</v>
      </c>
      <c r="G2" s="207"/>
      <c r="H2" s="207"/>
      <c r="I2" s="207" t="s">
        <v>5940</v>
      </c>
      <c r="J2" s="207"/>
      <c r="K2" s="207"/>
      <c r="L2" s="207" t="s">
        <v>4835</v>
      </c>
      <c r="M2" s="207"/>
      <c r="N2" s="207"/>
      <c r="O2" s="207"/>
      <c r="P2" s="207"/>
      <c r="Q2" s="207" t="s">
        <v>5940</v>
      </c>
      <c r="R2" s="207"/>
      <c r="S2" s="207"/>
      <c r="T2" s="207" t="s">
        <v>4835</v>
      </c>
      <c r="U2" s="207"/>
      <c r="V2" s="207"/>
      <c r="W2" s="207"/>
      <c r="X2" s="207"/>
      <c r="Y2" s="207"/>
      <c r="Z2" s="207"/>
      <c r="AA2" s="207"/>
      <c r="AB2" s="207" t="s">
        <v>5941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6284</v>
      </c>
      <c r="B4" s="207"/>
      <c r="C4" s="207" t="s">
        <v>6285</v>
      </c>
      <c r="D4" s="207"/>
      <c r="E4" s="207"/>
      <c r="F4" s="207" t="s">
        <v>6286</v>
      </c>
      <c r="G4" s="207"/>
      <c r="H4" s="207"/>
      <c r="I4" s="207" t="s">
        <v>6287</v>
      </c>
      <c r="J4" s="207"/>
      <c r="K4" s="207"/>
      <c r="L4" s="207"/>
      <c r="M4" s="207"/>
      <c r="N4" s="207" t="s">
        <v>6288</v>
      </c>
      <c r="O4" s="207"/>
      <c r="P4" s="207"/>
      <c r="Q4" s="207" t="s">
        <v>6289</v>
      </c>
      <c r="R4" s="207"/>
      <c r="S4" s="207"/>
      <c r="T4" s="207"/>
      <c r="U4" s="207" t="s">
        <v>6290</v>
      </c>
      <c r="V4" s="207"/>
      <c r="W4" s="207"/>
      <c r="X4" s="207"/>
      <c r="Y4" s="207" t="s">
        <v>5947</v>
      </c>
      <c r="Z4" s="207"/>
      <c r="AA4" s="207" t="s">
        <v>6291</v>
      </c>
      <c r="AB4" s="207"/>
      <c r="AC4" s="207"/>
      <c r="AD4" s="207" t="s">
        <v>6292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6293</v>
      </c>
      <c r="B6" s="207"/>
      <c r="C6" s="207" t="s">
        <v>6294</v>
      </c>
      <c r="D6" s="207"/>
      <c r="E6" s="207"/>
      <c r="F6" s="207" t="s">
        <v>6295</v>
      </c>
      <c r="G6" s="207"/>
      <c r="H6" s="207"/>
      <c r="I6" s="207" t="s">
        <v>5957</v>
      </c>
      <c r="J6" s="207"/>
      <c r="K6" s="207"/>
      <c r="L6" s="207"/>
      <c r="M6" s="207"/>
      <c r="N6" s="207" t="s">
        <v>5957</v>
      </c>
      <c r="O6" s="207"/>
      <c r="P6" s="207"/>
      <c r="Q6" s="207" t="s">
        <v>6294</v>
      </c>
      <c r="R6" s="207"/>
      <c r="S6" s="207"/>
      <c r="T6" s="207"/>
      <c r="U6" s="207" t="s">
        <v>6296</v>
      </c>
      <c r="V6" s="207"/>
      <c r="W6" s="207"/>
      <c r="X6" s="207"/>
      <c r="Y6" s="207" t="s">
        <v>5947</v>
      </c>
      <c r="Z6" s="207"/>
      <c r="AA6" s="207" t="s">
        <v>6297</v>
      </c>
      <c r="AB6" s="207"/>
      <c r="AC6" s="207"/>
      <c r="AD6" s="207" t="s">
        <v>6298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6299</v>
      </c>
      <c r="B7" s="207"/>
      <c r="C7" s="207" t="s">
        <v>6300</v>
      </c>
      <c r="D7" s="207"/>
      <c r="E7" s="207"/>
      <c r="F7" s="207" t="s">
        <v>6301</v>
      </c>
      <c r="G7" s="207"/>
      <c r="H7" s="207"/>
      <c r="I7" s="207" t="s">
        <v>5957</v>
      </c>
      <c r="J7" s="207"/>
      <c r="K7" s="207"/>
      <c r="L7" s="207"/>
      <c r="M7" s="207"/>
      <c r="N7" s="207" t="s">
        <v>5957</v>
      </c>
      <c r="O7" s="207"/>
      <c r="P7" s="207"/>
      <c r="Q7" s="207" t="s">
        <v>6300</v>
      </c>
      <c r="R7" s="207"/>
      <c r="S7" s="207"/>
      <c r="T7" s="207"/>
      <c r="U7" s="207" t="s">
        <v>6302</v>
      </c>
      <c r="V7" s="207"/>
      <c r="W7" s="207"/>
      <c r="X7" s="207"/>
      <c r="Y7" s="207" t="s">
        <v>5947</v>
      </c>
      <c r="Z7" s="207"/>
      <c r="AA7" s="207" t="s">
        <v>6303</v>
      </c>
      <c r="AB7" s="207"/>
      <c r="AC7" s="207"/>
      <c r="AD7" s="207" t="s">
        <v>6304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6305</v>
      </c>
      <c r="B8" s="207"/>
      <c r="C8" s="207" t="s">
        <v>6306</v>
      </c>
      <c r="D8" s="207"/>
      <c r="E8" s="207"/>
      <c r="F8" s="207" t="s">
        <v>6307</v>
      </c>
      <c r="G8" s="207"/>
      <c r="H8" s="207"/>
      <c r="I8" s="207" t="s">
        <v>5957</v>
      </c>
      <c r="J8" s="207"/>
      <c r="K8" s="207"/>
      <c r="L8" s="207"/>
      <c r="M8" s="207"/>
      <c r="N8" s="207" t="s">
        <v>5957</v>
      </c>
      <c r="O8" s="207"/>
      <c r="P8" s="207"/>
      <c r="Q8" s="207" t="s">
        <v>6306</v>
      </c>
      <c r="R8" s="207"/>
      <c r="S8" s="207"/>
      <c r="T8" s="207"/>
      <c r="U8" s="207" t="s">
        <v>6308</v>
      </c>
      <c r="V8" s="207"/>
      <c r="W8" s="207"/>
      <c r="X8" s="207"/>
      <c r="Y8" s="207" t="s">
        <v>6309</v>
      </c>
      <c r="Z8" s="207"/>
      <c r="AA8" s="207" t="s">
        <v>6005</v>
      </c>
      <c r="AB8" s="207"/>
      <c r="AC8" s="207"/>
      <c r="AD8" s="207" t="s">
        <v>6310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6311</v>
      </c>
      <c r="B9" s="207"/>
      <c r="C9" s="207" t="s">
        <v>6312</v>
      </c>
      <c r="D9" s="207"/>
      <c r="E9" s="207"/>
      <c r="F9" s="207" t="s">
        <v>6313</v>
      </c>
      <c r="G9" s="207"/>
      <c r="H9" s="207"/>
      <c r="I9" s="207" t="s">
        <v>5957</v>
      </c>
      <c r="J9" s="207"/>
      <c r="K9" s="207"/>
      <c r="L9" s="207"/>
      <c r="M9" s="207"/>
      <c r="N9" s="207" t="s">
        <v>5957</v>
      </c>
      <c r="O9" s="207"/>
      <c r="P9" s="207"/>
      <c r="Q9" s="207" t="s">
        <v>6312</v>
      </c>
      <c r="R9" s="207"/>
      <c r="S9" s="207"/>
      <c r="T9" s="207"/>
      <c r="U9" s="207" t="s">
        <v>6314</v>
      </c>
      <c r="V9" s="207"/>
      <c r="W9" s="207"/>
      <c r="X9" s="207"/>
      <c r="Y9" s="207" t="s">
        <v>6309</v>
      </c>
      <c r="Z9" s="207"/>
      <c r="AA9" s="207" t="s">
        <v>6277</v>
      </c>
      <c r="AB9" s="207"/>
      <c r="AC9" s="207"/>
      <c r="AD9" s="207" t="s">
        <v>6315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6316</v>
      </c>
      <c r="B10" s="207"/>
      <c r="C10" s="207" t="s">
        <v>6317</v>
      </c>
      <c r="D10" s="207"/>
      <c r="E10" s="207"/>
      <c r="F10" s="207" t="s">
        <v>6318</v>
      </c>
      <c r="G10" s="207"/>
      <c r="H10" s="207"/>
      <c r="I10" s="207" t="s">
        <v>5957</v>
      </c>
      <c r="J10" s="207"/>
      <c r="K10" s="207"/>
      <c r="L10" s="207"/>
      <c r="M10" s="207"/>
      <c r="N10" s="207" t="s">
        <v>5957</v>
      </c>
      <c r="O10" s="207"/>
      <c r="P10" s="207"/>
      <c r="Q10" s="207" t="s">
        <v>6317</v>
      </c>
      <c r="R10" s="207"/>
      <c r="S10" s="207"/>
      <c r="T10" s="207"/>
      <c r="U10" s="207" t="s">
        <v>6319</v>
      </c>
      <c r="V10" s="207"/>
      <c r="W10" s="207"/>
      <c r="X10" s="207"/>
      <c r="Y10" s="207" t="s">
        <v>6309</v>
      </c>
      <c r="Z10" s="207"/>
      <c r="AA10" s="207" t="s">
        <v>6320</v>
      </c>
      <c r="AB10" s="207"/>
      <c r="AC10" s="207"/>
      <c r="AD10" s="207" t="s">
        <v>6321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6322</v>
      </c>
      <c r="B11" s="207"/>
      <c r="C11" s="207" t="s">
        <v>6323</v>
      </c>
      <c r="D11" s="207"/>
      <c r="E11" s="207"/>
      <c r="F11" s="207" t="s">
        <v>6324</v>
      </c>
      <c r="G11" s="207"/>
      <c r="H11" s="207"/>
      <c r="I11" s="207" t="s">
        <v>5957</v>
      </c>
      <c r="J11" s="207"/>
      <c r="K11" s="207"/>
      <c r="L11" s="207"/>
      <c r="M11" s="207"/>
      <c r="N11" s="207" t="s">
        <v>5957</v>
      </c>
      <c r="O11" s="207"/>
      <c r="P11" s="207"/>
      <c r="Q11" s="207" t="s">
        <v>6323</v>
      </c>
      <c r="R11" s="207"/>
      <c r="S11" s="207"/>
      <c r="T11" s="207"/>
      <c r="U11" s="207" t="s">
        <v>6325</v>
      </c>
      <c r="V11" s="207"/>
      <c r="W11" s="207"/>
      <c r="X11" s="207"/>
      <c r="Y11" s="207" t="s">
        <v>6309</v>
      </c>
      <c r="Z11" s="207"/>
      <c r="AA11" s="207" t="s">
        <v>6223</v>
      </c>
      <c r="AB11" s="207"/>
      <c r="AC11" s="207"/>
      <c r="AD11" s="207" t="s">
        <v>6326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6327</v>
      </c>
      <c r="B12" s="207"/>
      <c r="C12" s="207" t="s">
        <v>6328</v>
      </c>
      <c r="D12" s="207"/>
      <c r="E12" s="207"/>
      <c r="F12" s="207" t="s">
        <v>6329</v>
      </c>
      <c r="G12" s="207"/>
      <c r="H12" s="207"/>
      <c r="I12" s="207" t="s">
        <v>5957</v>
      </c>
      <c r="J12" s="207"/>
      <c r="K12" s="207"/>
      <c r="L12" s="207"/>
      <c r="M12" s="207"/>
      <c r="N12" s="207" t="s">
        <v>5957</v>
      </c>
      <c r="O12" s="207"/>
      <c r="P12" s="207"/>
      <c r="Q12" s="207" t="s">
        <v>6328</v>
      </c>
      <c r="R12" s="207"/>
      <c r="S12" s="207"/>
      <c r="T12" s="207"/>
      <c r="U12" s="207" t="s">
        <v>6330</v>
      </c>
      <c r="V12" s="207"/>
      <c r="W12" s="207"/>
      <c r="X12" s="207"/>
      <c r="Y12" s="207" t="s">
        <v>5947</v>
      </c>
      <c r="Z12" s="207"/>
      <c r="AA12" s="207" t="s">
        <v>6277</v>
      </c>
      <c r="AB12" s="207"/>
      <c r="AC12" s="207"/>
      <c r="AD12" s="207" t="s">
        <v>6331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6332</v>
      </c>
      <c r="B13" s="207"/>
      <c r="C13" s="207" t="s">
        <v>6333</v>
      </c>
      <c r="D13" s="207"/>
      <c r="E13" s="207"/>
      <c r="F13" s="207" t="s">
        <v>6334</v>
      </c>
      <c r="G13" s="207"/>
      <c r="H13" s="207"/>
      <c r="I13" s="207" t="s">
        <v>5957</v>
      </c>
      <c r="J13" s="207"/>
      <c r="K13" s="207"/>
      <c r="L13" s="207"/>
      <c r="M13" s="207"/>
      <c r="N13" s="207" t="s">
        <v>5957</v>
      </c>
      <c r="O13" s="207"/>
      <c r="P13" s="207"/>
      <c r="Q13" s="207" t="s">
        <v>6333</v>
      </c>
      <c r="R13" s="207"/>
      <c r="S13" s="207"/>
      <c r="T13" s="207"/>
      <c r="U13" s="207" t="s">
        <v>6335</v>
      </c>
      <c r="V13" s="207"/>
      <c r="W13" s="207"/>
      <c r="X13" s="207"/>
      <c r="Y13" s="207" t="s">
        <v>5947</v>
      </c>
      <c r="Z13" s="207"/>
      <c r="AA13" s="207" t="s">
        <v>6336</v>
      </c>
      <c r="AB13" s="207"/>
      <c r="AC13" s="207"/>
      <c r="AD13" s="207" t="s">
        <v>6337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5947</v>
      </c>
      <c r="B14" s="207"/>
      <c r="C14" s="207" t="s">
        <v>6338</v>
      </c>
      <c r="D14" s="207"/>
      <c r="E14" s="207"/>
      <c r="F14" s="207" t="s">
        <v>6329</v>
      </c>
      <c r="G14" s="207"/>
      <c r="H14" s="207"/>
      <c r="I14" s="207" t="s">
        <v>5957</v>
      </c>
      <c r="J14" s="207"/>
      <c r="K14" s="207"/>
      <c r="L14" s="207"/>
      <c r="M14" s="207"/>
      <c r="N14" s="207" t="s">
        <v>5957</v>
      </c>
      <c r="O14" s="207"/>
      <c r="P14" s="207"/>
      <c r="Q14" s="207" t="s">
        <v>6338</v>
      </c>
      <c r="R14" s="207"/>
      <c r="S14" s="207"/>
      <c r="T14" s="207"/>
      <c r="U14" s="207" t="s">
        <v>6339</v>
      </c>
      <c r="V14" s="207"/>
      <c r="W14" s="207"/>
      <c r="X14" s="207"/>
      <c r="Y14" s="207" t="s">
        <v>5947</v>
      </c>
      <c r="Z14" s="207"/>
      <c r="AA14" s="207" t="s">
        <v>6340</v>
      </c>
      <c r="AB14" s="207"/>
      <c r="AC14" s="207"/>
      <c r="AD14" s="207" t="s">
        <v>6341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6342</v>
      </c>
      <c r="B15" s="207"/>
      <c r="C15" s="207" t="s">
        <v>6343</v>
      </c>
      <c r="D15" s="207"/>
      <c r="E15" s="207"/>
      <c r="F15" s="207" t="s">
        <v>6344</v>
      </c>
      <c r="G15" s="207"/>
      <c r="H15" s="207"/>
      <c r="I15" s="207" t="s">
        <v>5957</v>
      </c>
      <c r="J15" s="207"/>
      <c r="K15" s="207"/>
      <c r="L15" s="207"/>
      <c r="M15" s="207"/>
      <c r="N15" s="207" t="s">
        <v>5957</v>
      </c>
      <c r="O15" s="207"/>
      <c r="P15" s="207"/>
      <c r="Q15" s="207" t="s">
        <v>6343</v>
      </c>
      <c r="R15" s="207"/>
      <c r="S15" s="207"/>
      <c r="T15" s="207"/>
      <c r="U15" s="207" t="s">
        <v>6345</v>
      </c>
      <c r="V15" s="207"/>
      <c r="W15" s="207"/>
      <c r="X15" s="207"/>
      <c r="Y15" s="207" t="s">
        <v>6309</v>
      </c>
      <c r="Z15" s="207"/>
      <c r="AA15" s="207" t="s">
        <v>6223</v>
      </c>
      <c r="AB15" s="207"/>
      <c r="AC15" s="207"/>
      <c r="AD15" s="207" t="s">
        <v>6346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6347</v>
      </c>
      <c r="B16" s="207"/>
      <c r="C16" s="207" t="s">
        <v>6348</v>
      </c>
      <c r="D16" s="207"/>
      <c r="E16" s="207"/>
      <c r="F16" s="207" t="s">
        <v>6349</v>
      </c>
      <c r="G16" s="207"/>
      <c r="H16" s="207"/>
      <c r="I16" s="207" t="s">
        <v>5957</v>
      </c>
      <c r="J16" s="207"/>
      <c r="K16" s="207"/>
      <c r="L16" s="207"/>
      <c r="M16" s="207"/>
      <c r="N16" s="207" t="s">
        <v>5957</v>
      </c>
      <c r="O16" s="207"/>
      <c r="P16" s="207"/>
      <c r="Q16" s="207" t="s">
        <v>6348</v>
      </c>
      <c r="R16" s="207"/>
      <c r="S16" s="207"/>
      <c r="T16" s="207"/>
      <c r="U16" s="207" t="s">
        <v>6348</v>
      </c>
      <c r="V16" s="207"/>
      <c r="W16" s="207"/>
      <c r="X16" s="207"/>
      <c r="Y16" s="207" t="s">
        <v>6347</v>
      </c>
      <c r="Z16" s="207"/>
      <c r="AA16" s="207" t="s">
        <v>6202</v>
      </c>
      <c r="AB16" s="207"/>
      <c r="AC16" s="207"/>
      <c r="AD16" s="207" t="s">
        <v>6350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6347</v>
      </c>
      <c r="B17" s="207"/>
      <c r="C17" s="207" t="s">
        <v>6351</v>
      </c>
      <c r="D17" s="207"/>
      <c r="E17" s="207"/>
      <c r="F17" s="207" t="s">
        <v>6352</v>
      </c>
      <c r="G17" s="207"/>
      <c r="H17" s="207"/>
      <c r="I17" s="207" t="s">
        <v>5957</v>
      </c>
      <c r="J17" s="207"/>
      <c r="K17" s="207"/>
      <c r="L17" s="207"/>
      <c r="M17" s="207"/>
      <c r="N17" s="207" t="s">
        <v>5957</v>
      </c>
      <c r="O17" s="207"/>
      <c r="P17" s="207"/>
      <c r="Q17" s="207" t="s">
        <v>6351</v>
      </c>
      <c r="R17" s="207"/>
      <c r="S17" s="207"/>
      <c r="T17" s="207"/>
      <c r="U17" s="207" t="s">
        <v>6351</v>
      </c>
      <c r="V17" s="207"/>
      <c r="W17" s="207"/>
      <c r="X17" s="207"/>
      <c r="Y17" s="207" t="s">
        <v>6347</v>
      </c>
      <c r="Z17" s="207"/>
      <c r="AA17" s="207" t="s">
        <v>6353</v>
      </c>
      <c r="AB17" s="207"/>
      <c r="AC17" s="207"/>
      <c r="AD17" s="207" t="s">
        <v>6354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6355</v>
      </c>
      <c r="B18" s="207"/>
      <c r="C18" s="207" t="s">
        <v>6356</v>
      </c>
      <c r="D18" s="207"/>
      <c r="E18" s="207"/>
      <c r="F18" s="207" t="s">
        <v>6135</v>
      </c>
      <c r="G18" s="207"/>
      <c r="H18" s="207"/>
      <c r="I18" s="207" t="s">
        <v>5957</v>
      </c>
      <c r="J18" s="207"/>
      <c r="K18" s="207"/>
      <c r="L18" s="207"/>
      <c r="M18" s="207"/>
      <c r="N18" s="207" t="s">
        <v>5957</v>
      </c>
      <c r="O18" s="207"/>
      <c r="P18" s="207"/>
      <c r="Q18" s="207" t="s">
        <v>6356</v>
      </c>
      <c r="R18" s="207"/>
      <c r="S18" s="207"/>
      <c r="T18" s="207"/>
      <c r="U18" s="207" t="s">
        <v>6357</v>
      </c>
      <c r="V18" s="207"/>
      <c r="W18" s="207"/>
      <c r="X18" s="207"/>
      <c r="Y18" s="207" t="s">
        <v>6309</v>
      </c>
      <c r="Z18" s="207"/>
      <c r="AA18" s="207" t="s">
        <v>6223</v>
      </c>
      <c r="AB18" s="207"/>
      <c r="AC18" s="207"/>
      <c r="AD18" s="207" t="s">
        <v>6358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6359</v>
      </c>
      <c r="B19" s="207"/>
      <c r="C19" s="207" t="s">
        <v>6360</v>
      </c>
      <c r="D19" s="207"/>
      <c r="E19" s="207"/>
      <c r="F19" s="207" t="s">
        <v>6033</v>
      </c>
      <c r="G19" s="207"/>
      <c r="H19" s="207"/>
      <c r="I19" s="207" t="s">
        <v>5957</v>
      </c>
      <c r="J19" s="207"/>
      <c r="K19" s="207"/>
      <c r="L19" s="207"/>
      <c r="M19" s="207"/>
      <c r="N19" s="207" t="s">
        <v>5957</v>
      </c>
      <c r="O19" s="207"/>
      <c r="P19" s="207"/>
      <c r="Q19" s="207" t="s">
        <v>6360</v>
      </c>
      <c r="R19" s="207"/>
      <c r="S19" s="207"/>
      <c r="T19" s="207"/>
      <c r="U19" s="207" t="s">
        <v>6340</v>
      </c>
      <c r="V19" s="207"/>
      <c r="W19" s="207"/>
      <c r="X19" s="207"/>
      <c r="Y19" s="207" t="s">
        <v>5947</v>
      </c>
      <c r="Z19" s="207"/>
      <c r="AA19" s="207" t="s">
        <v>6361</v>
      </c>
      <c r="AB19" s="207"/>
      <c r="AC19" s="207"/>
      <c r="AD19" s="207" t="s">
        <v>6362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6363</v>
      </c>
      <c r="B20" s="207"/>
      <c r="C20" s="207" t="s">
        <v>6364</v>
      </c>
      <c r="D20" s="207"/>
      <c r="E20" s="207"/>
      <c r="F20" s="207" t="s">
        <v>6008</v>
      </c>
      <c r="G20" s="207"/>
      <c r="H20" s="207"/>
      <c r="I20" s="207" t="s">
        <v>5957</v>
      </c>
      <c r="J20" s="207"/>
      <c r="K20" s="207"/>
      <c r="L20" s="207"/>
      <c r="M20" s="207"/>
      <c r="N20" s="207" t="s">
        <v>5957</v>
      </c>
      <c r="O20" s="207"/>
      <c r="P20" s="207"/>
      <c r="Q20" s="207" t="s">
        <v>6364</v>
      </c>
      <c r="R20" s="207"/>
      <c r="S20" s="207"/>
      <c r="T20" s="207"/>
      <c r="U20" s="207" t="s">
        <v>6365</v>
      </c>
      <c r="V20" s="207"/>
      <c r="W20" s="207"/>
      <c r="X20" s="207"/>
      <c r="Y20" s="207" t="s">
        <v>6347</v>
      </c>
      <c r="Z20" s="207"/>
      <c r="AA20" s="207" t="s">
        <v>6147</v>
      </c>
      <c r="AB20" s="207"/>
      <c r="AC20" s="207"/>
      <c r="AD20" s="207" t="s">
        <v>6366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6309</v>
      </c>
      <c r="B21" s="207"/>
      <c r="C21" s="207" t="s">
        <v>5947</v>
      </c>
      <c r="D21" s="207"/>
      <c r="E21" s="207"/>
      <c r="F21" s="207" t="s">
        <v>6329</v>
      </c>
      <c r="G21" s="207"/>
      <c r="H21" s="207"/>
      <c r="I21" s="207" t="s">
        <v>5957</v>
      </c>
      <c r="J21" s="207"/>
      <c r="K21" s="207"/>
      <c r="L21" s="207"/>
      <c r="M21" s="207"/>
      <c r="N21" s="207" t="s">
        <v>5957</v>
      </c>
      <c r="O21" s="207"/>
      <c r="P21" s="207"/>
      <c r="Q21" s="207" t="s">
        <v>5947</v>
      </c>
      <c r="R21" s="207"/>
      <c r="S21" s="207"/>
      <c r="T21" s="207"/>
      <c r="U21" s="207" t="s">
        <v>6338</v>
      </c>
      <c r="V21" s="207"/>
      <c r="W21" s="207"/>
      <c r="X21" s="207"/>
      <c r="Y21" s="207" t="s">
        <v>6309</v>
      </c>
      <c r="Z21" s="207"/>
      <c r="AA21" s="207" t="s">
        <v>5947</v>
      </c>
      <c r="AB21" s="207"/>
      <c r="AC21" s="207"/>
      <c r="AD21" s="207" t="s">
        <v>6367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6368</v>
      </c>
      <c r="B22" s="207"/>
      <c r="C22" s="207" t="s">
        <v>6369</v>
      </c>
      <c r="D22" s="207"/>
      <c r="E22" s="207"/>
      <c r="F22" s="207" t="s">
        <v>6254</v>
      </c>
      <c r="G22" s="207"/>
      <c r="H22" s="207"/>
      <c r="I22" s="207" t="s">
        <v>5957</v>
      </c>
      <c r="J22" s="207"/>
      <c r="K22" s="207"/>
      <c r="L22" s="207"/>
      <c r="M22" s="207"/>
      <c r="N22" s="207" t="s">
        <v>5957</v>
      </c>
      <c r="O22" s="207"/>
      <c r="P22" s="207"/>
      <c r="Q22" s="207" t="s">
        <v>6369</v>
      </c>
      <c r="R22" s="207"/>
      <c r="S22" s="207"/>
      <c r="T22" s="207"/>
      <c r="U22" s="207" t="s">
        <v>6370</v>
      </c>
      <c r="V22" s="207"/>
      <c r="W22" s="207"/>
      <c r="X22" s="207"/>
      <c r="Y22" s="207" t="s">
        <v>6309</v>
      </c>
      <c r="Z22" s="207"/>
      <c r="AA22" s="207" t="s">
        <v>6371</v>
      </c>
      <c r="AB22" s="207"/>
      <c r="AC22" s="207"/>
      <c r="AD22" s="207" t="s">
        <v>6372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5947</v>
      </c>
      <c r="B23" s="207"/>
      <c r="C23" s="207" t="s">
        <v>6373</v>
      </c>
      <c r="D23" s="207"/>
      <c r="E23" s="207"/>
      <c r="F23" s="207" t="s">
        <v>6254</v>
      </c>
      <c r="G23" s="207"/>
      <c r="H23" s="207"/>
      <c r="I23" s="207" t="s">
        <v>5957</v>
      </c>
      <c r="J23" s="207"/>
      <c r="K23" s="207"/>
      <c r="L23" s="207"/>
      <c r="M23" s="207"/>
      <c r="N23" s="207" t="s">
        <v>5957</v>
      </c>
      <c r="O23" s="207"/>
      <c r="P23" s="207"/>
      <c r="Q23" s="207" t="s">
        <v>6373</v>
      </c>
      <c r="R23" s="207"/>
      <c r="S23" s="207"/>
      <c r="T23" s="207"/>
      <c r="U23" s="207" t="s">
        <v>6309</v>
      </c>
      <c r="V23" s="207"/>
      <c r="W23" s="207"/>
      <c r="X23" s="207"/>
      <c r="Y23" s="207" t="s">
        <v>5947</v>
      </c>
      <c r="Z23" s="207"/>
      <c r="AA23" s="207" t="s">
        <v>6374</v>
      </c>
      <c r="AB23" s="207"/>
      <c r="AC23" s="207"/>
      <c r="AD23" s="207" t="s">
        <v>6375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5957</v>
      </c>
      <c r="B24" s="207"/>
      <c r="C24" s="207" t="s">
        <v>6376</v>
      </c>
      <c r="D24" s="207"/>
      <c r="E24" s="207"/>
      <c r="F24" s="207" t="s">
        <v>6254</v>
      </c>
      <c r="G24" s="207"/>
      <c r="H24" s="207"/>
      <c r="I24" s="207" t="s">
        <v>5957</v>
      </c>
      <c r="J24" s="207"/>
      <c r="K24" s="207"/>
      <c r="L24" s="207"/>
      <c r="M24" s="207"/>
      <c r="N24" s="207" t="s">
        <v>5957</v>
      </c>
      <c r="O24" s="207"/>
      <c r="P24" s="207"/>
      <c r="Q24" s="207" t="s">
        <v>6376</v>
      </c>
      <c r="R24" s="207"/>
      <c r="S24" s="207"/>
      <c r="T24" s="207"/>
      <c r="U24" s="207" t="s">
        <v>5957</v>
      </c>
      <c r="V24" s="207"/>
      <c r="W24" s="207"/>
      <c r="X24" s="207"/>
      <c r="Y24" s="207" t="s">
        <v>5957</v>
      </c>
      <c r="Z24" s="207"/>
      <c r="AA24" s="207" t="s">
        <v>5957</v>
      </c>
      <c r="AB24" s="207"/>
      <c r="AC24" s="207"/>
      <c r="AD24" s="207" t="s">
        <v>6377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6378</v>
      </c>
      <c r="D25" s="207"/>
      <c r="E25" s="207"/>
      <c r="F25" s="207"/>
      <c r="G25" s="207"/>
      <c r="H25" s="207" t="s">
        <v>6287</v>
      </c>
      <c r="I25" s="207"/>
      <c r="J25" s="207"/>
      <c r="K25" s="207"/>
      <c r="L25" s="207" t="s">
        <v>6379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6381</v>
      </c>
      <c r="B28" s="207"/>
      <c r="C28" s="207"/>
      <c r="D28" s="207"/>
      <c r="E28" s="207"/>
      <c r="F28" s="207" t="s">
        <v>6382</v>
      </c>
      <c r="G28" s="207"/>
      <c r="H28" s="207"/>
      <c r="I28" s="207"/>
      <c r="J28" s="207"/>
      <c r="K28" s="207"/>
      <c r="L28" s="207"/>
      <c r="M28" s="207"/>
      <c r="N28" s="207"/>
      <c r="O28" s="207"/>
      <c r="P28" s="207"/>
      <c r="Q28" s="207" t="s">
        <v>6282</v>
      </c>
      <c r="R28" s="207"/>
      <c r="S28" s="207"/>
      <c r="T28" s="207"/>
      <c r="U28" s="207" t="s">
        <v>5941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5957</v>
      </c>
      <c r="B29" s="207"/>
      <c r="C29" s="207"/>
      <c r="D29" s="207"/>
      <c r="E29" s="207"/>
      <c r="F29" s="207" t="s">
        <v>6383</v>
      </c>
      <c r="G29" s="207"/>
      <c r="H29" s="207"/>
      <c r="I29" s="207"/>
      <c r="J29" s="207"/>
      <c r="K29" s="207"/>
      <c r="L29" s="207"/>
      <c r="M29" s="207"/>
      <c r="N29" s="207"/>
      <c r="O29" s="207"/>
      <c r="P29" s="207"/>
      <c r="Q29" s="207" t="s">
        <v>6257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5957</v>
      </c>
      <c r="B31" s="207"/>
      <c r="C31" s="207"/>
      <c r="D31" s="207"/>
      <c r="E31" s="207"/>
      <c r="F31" s="207" t="s">
        <v>5968</v>
      </c>
      <c r="G31" s="207"/>
      <c r="H31" s="207"/>
      <c r="I31" s="207"/>
      <c r="J31" s="207"/>
      <c r="K31" s="207"/>
      <c r="L31" s="207"/>
      <c r="M31" s="207"/>
      <c r="N31" s="207"/>
      <c r="O31" s="207"/>
      <c r="P31" s="207"/>
      <c r="Q31" s="207" t="s">
        <v>5972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5957</v>
      </c>
      <c r="B33" s="207"/>
      <c r="C33" s="207"/>
      <c r="D33" s="207"/>
      <c r="E33" s="207"/>
      <c r="F33" s="207" t="s">
        <v>5944</v>
      </c>
      <c r="G33" s="207"/>
      <c r="H33" s="207"/>
      <c r="I33" s="207"/>
      <c r="J33" s="207"/>
      <c r="K33" s="207"/>
      <c r="L33" s="207"/>
      <c r="M33" s="207"/>
      <c r="N33" s="207"/>
      <c r="O33" s="207"/>
      <c r="P33" s="207"/>
      <c r="Q33" s="207" t="s">
        <v>5949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5957</v>
      </c>
      <c r="B35" s="207"/>
      <c r="C35" s="207"/>
      <c r="D35" s="207"/>
      <c r="E35" s="207"/>
      <c r="F35" s="207" t="s">
        <v>6063</v>
      </c>
      <c r="G35" s="207"/>
      <c r="H35" s="207"/>
      <c r="I35" s="207"/>
      <c r="J35" s="207"/>
      <c r="K35" s="207"/>
      <c r="L35" s="207"/>
      <c r="M35" s="207"/>
      <c r="N35" s="207"/>
      <c r="O35" s="207"/>
      <c r="P35" s="207"/>
      <c r="Q35" s="207" t="s">
        <v>6067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5957</v>
      </c>
      <c r="B37" s="207"/>
      <c r="C37" s="207"/>
      <c r="D37" s="207"/>
      <c r="E37" s="207"/>
      <c r="F37" s="207" t="s">
        <v>5957</v>
      </c>
      <c r="G37" s="207"/>
      <c r="H37" s="207"/>
      <c r="I37" s="207"/>
      <c r="J37" s="207"/>
      <c r="K37" s="207"/>
      <c r="L37" s="207"/>
      <c r="M37" s="207"/>
      <c r="N37" s="207"/>
      <c r="O37" s="207"/>
      <c r="P37" s="207"/>
      <c r="Q37" s="207" t="s">
        <v>6169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5957</v>
      </c>
      <c r="B39" s="207"/>
      <c r="C39" s="207"/>
      <c r="D39" s="207"/>
      <c r="E39" s="207"/>
      <c r="F39" s="207" t="s">
        <v>5997</v>
      </c>
      <c r="G39" s="207"/>
      <c r="H39" s="207"/>
      <c r="I39" s="207"/>
      <c r="J39" s="207"/>
      <c r="K39" s="207"/>
      <c r="L39" s="207"/>
      <c r="M39" s="207"/>
      <c r="N39" s="207"/>
      <c r="O39" s="207"/>
      <c r="P39" s="207"/>
      <c r="Q39" s="207" t="s">
        <v>6001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5957</v>
      </c>
      <c r="B41" s="207"/>
      <c r="C41" s="207"/>
      <c r="D41" s="207"/>
      <c r="E41" s="207"/>
      <c r="F41" s="207" t="s">
        <v>6056</v>
      </c>
      <c r="G41" s="207"/>
      <c r="H41" s="207"/>
      <c r="I41" s="207"/>
      <c r="J41" s="207"/>
      <c r="K41" s="207"/>
      <c r="L41" s="207"/>
      <c r="M41" s="207"/>
      <c r="N41" s="207"/>
      <c r="O41" s="207"/>
      <c r="P41" s="207"/>
      <c r="Q41" s="207" t="s">
        <v>6060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5957</v>
      </c>
      <c r="B43" s="207"/>
      <c r="C43" s="207"/>
      <c r="D43" s="207"/>
      <c r="E43" s="207"/>
      <c r="F43" s="207" t="s">
        <v>5974</v>
      </c>
      <c r="G43" s="207"/>
      <c r="H43" s="207"/>
      <c r="I43" s="207"/>
      <c r="J43" s="207"/>
      <c r="K43" s="207"/>
      <c r="L43" s="207"/>
      <c r="M43" s="207"/>
      <c r="N43" s="207"/>
      <c r="O43" s="207"/>
      <c r="P43" s="207"/>
      <c r="Q43" s="207" t="s">
        <v>5978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5957</v>
      </c>
      <c r="B45" s="207"/>
      <c r="C45" s="207"/>
      <c r="D45" s="207"/>
      <c r="E45" s="207"/>
      <c r="F45" s="207" t="s">
        <v>5951</v>
      </c>
      <c r="G45" s="207"/>
      <c r="H45" s="207"/>
      <c r="I45" s="207"/>
      <c r="J45" s="207"/>
      <c r="K45" s="207"/>
      <c r="L45" s="207"/>
      <c r="M45" s="207"/>
      <c r="N45" s="207"/>
      <c r="O45" s="207"/>
      <c r="P45" s="207"/>
      <c r="Q45" s="207" t="s">
        <v>5955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5957</v>
      </c>
      <c r="B47" s="207"/>
      <c r="C47" s="207"/>
      <c r="D47" s="207"/>
      <c r="E47" s="207"/>
      <c r="F47" s="207" t="s">
        <v>6392</v>
      </c>
      <c r="G47" s="207"/>
      <c r="H47" s="207"/>
      <c r="I47" s="207"/>
      <c r="J47" s="207"/>
      <c r="K47" s="207"/>
      <c r="L47" s="207"/>
      <c r="M47" s="207"/>
      <c r="N47" s="207"/>
      <c r="O47" s="207"/>
      <c r="P47" s="207"/>
      <c r="Q47" s="207" t="s">
        <v>6030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5957</v>
      </c>
      <c r="B49" s="207"/>
      <c r="C49" s="207"/>
      <c r="D49" s="207"/>
      <c r="E49" s="207"/>
      <c r="F49" s="207" t="s">
        <v>5962</v>
      </c>
      <c r="G49" s="207"/>
      <c r="H49" s="207"/>
      <c r="I49" s="207"/>
      <c r="J49" s="207"/>
      <c r="K49" s="207"/>
      <c r="L49" s="207"/>
      <c r="M49" s="207"/>
      <c r="N49" s="207"/>
      <c r="O49" s="207"/>
      <c r="P49" s="207"/>
      <c r="Q49" s="207" t="s">
        <v>5966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5957</v>
      </c>
      <c r="B51" s="207"/>
      <c r="C51" s="207"/>
      <c r="D51" s="207"/>
      <c r="E51" s="207"/>
      <c r="F51" s="207" t="s">
        <v>5957</v>
      </c>
      <c r="G51" s="207"/>
      <c r="H51" s="207"/>
      <c r="I51" s="207"/>
      <c r="J51" s="207"/>
      <c r="K51" s="207"/>
      <c r="L51" s="207"/>
      <c r="M51" s="207"/>
      <c r="N51" s="207"/>
      <c r="O51" s="207"/>
      <c r="P51" s="207"/>
      <c r="Q51" s="207" t="s">
        <v>6211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6287</v>
      </c>
      <c r="B53" s="207"/>
      <c r="C53" s="207"/>
      <c r="D53" s="207"/>
      <c r="E53" s="207"/>
      <c r="F53" s="207" t="s">
        <v>5957</v>
      </c>
      <c r="G53" s="207"/>
      <c r="H53" s="207"/>
      <c r="I53" s="207"/>
      <c r="J53" s="207"/>
      <c r="K53" s="207"/>
      <c r="L53" s="207"/>
      <c r="M53" s="207"/>
      <c r="N53" s="207"/>
      <c r="O53" s="207"/>
      <c r="P53" s="207"/>
      <c r="Q53" s="207" t="s">
        <v>6292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6287</v>
      </c>
      <c r="B55" s="207"/>
      <c r="C55" s="207"/>
      <c r="D55" s="207"/>
      <c r="E55" s="207"/>
      <c r="F55" s="207" t="s">
        <v>6396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6398</v>
      </c>
      <c r="B59" s="207"/>
      <c r="C59" s="207" t="s">
        <v>6399</v>
      </c>
      <c r="D59" s="207"/>
      <c r="E59" s="207"/>
      <c r="F59" s="207" t="s">
        <v>6400</v>
      </c>
      <c r="G59" s="207"/>
      <c r="H59" s="207"/>
      <c r="I59" s="207"/>
      <c r="J59" s="207"/>
      <c r="K59" s="207"/>
      <c r="L59" s="207" t="s">
        <v>6401</v>
      </c>
      <c r="M59" s="207"/>
      <c r="N59" s="207"/>
      <c r="O59" s="207"/>
      <c r="P59" s="207"/>
      <c r="Q59" s="207"/>
      <c r="R59" s="207" t="s">
        <v>6282</v>
      </c>
      <c r="S59" s="207"/>
      <c r="T59" s="207"/>
      <c r="U59" s="207" t="s">
        <v>5941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6402</v>
      </c>
      <c r="B60" s="207"/>
      <c r="C60" s="207"/>
      <c r="D60" s="207" t="s">
        <v>6403</v>
      </c>
      <c r="E60" s="207"/>
      <c r="F60" s="207"/>
      <c r="G60" s="207"/>
      <c r="H60" s="207"/>
      <c r="I60" s="207" t="s">
        <v>6404</v>
      </c>
      <c r="J60" s="207"/>
      <c r="K60" s="207"/>
      <c r="L60" s="207"/>
      <c r="M60" s="207"/>
      <c r="N60" s="207"/>
      <c r="O60" s="207"/>
      <c r="P60" s="207"/>
      <c r="Q60" s="207" t="s">
        <v>6405</v>
      </c>
      <c r="R60" s="207"/>
      <c r="S60" s="207"/>
      <c r="T60" s="207"/>
      <c r="U60" s="207" t="s">
        <v>6257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6407</v>
      </c>
      <c r="B62" s="207"/>
      <c r="C62" s="207"/>
      <c r="D62" s="207" t="s">
        <v>6408</v>
      </c>
      <c r="E62" s="207"/>
      <c r="F62" s="207"/>
      <c r="G62" s="207"/>
      <c r="H62" s="207"/>
      <c r="I62" s="207" t="s">
        <v>6409</v>
      </c>
      <c r="J62" s="207"/>
      <c r="K62" s="207"/>
      <c r="L62" s="207"/>
      <c r="M62" s="207"/>
      <c r="N62" s="207"/>
      <c r="O62" s="207"/>
      <c r="P62" s="207"/>
      <c r="Q62" s="207" t="s">
        <v>6410</v>
      </c>
      <c r="R62" s="207"/>
      <c r="S62" s="207"/>
      <c r="T62" s="207"/>
      <c r="U62" s="207" t="s">
        <v>6030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5957</v>
      </c>
      <c r="B64" s="207"/>
      <c r="C64" s="207"/>
      <c r="D64" s="207" t="s">
        <v>5957</v>
      </c>
      <c r="E64" s="207"/>
      <c r="F64" s="207"/>
      <c r="G64" s="207"/>
      <c r="H64" s="207"/>
      <c r="I64" s="207" t="s">
        <v>5957</v>
      </c>
      <c r="J64" s="207"/>
      <c r="K64" s="207"/>
      <c r="L64" s="207"/>
      <c r="M64" s="207"/>
      <c r="N64" s="207"/>
      <c r="O64" s="207"/>
      <c r="P64" s="207"/>
      <c r="Q64" s="207" t="s">
        <v>5957</v>
      </c>
      <c r="R64" s="207"/>
      <c r="S64" s="207"/>
      <c r="T64" s="207"/>
      <c r="U64" s="207" t="s">
        <v>6060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6412</v>
      </c>
      <c r="B66" s="207"/>
      <c r="C66" s="207"/>
      <c r="D66" s="207" t="s">
        <v>6413</v>
      </c>
      <c r="E66" s="207"/>
      <c r="F66" s="207"/>
      <c r="G66" s="207"/>
      <c r="H66" s="207"/>
      <c r="I66" s="207"/>
      <c r="J66" s="207"/>
      <c r="K66" s="207" t="s">
        <v>6414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6416</v>
      </c>
      <c r="E70" s="207"/>
      <c r="F70" s="207"/>
      <c r="G70" s="207"/>
      <c r="H70" s="207"/>
      <c r="I70" s="207" t="s">
        <v>6417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5938</v>
      </c>
      <c r="M71" s="207"/>
      <c r="N71" s="207"/>
      <c r="O71" s="207"/>
      <c r="P71" s="207" t="s">
        <v>6418</v>
      </c>
      <c r="Q71" s="207" t="s">
        <v>6419</v>
      </c>
      <c r="R71" s="207"/>
      <c r="S71" s="207" t="s">
        <v>6420</v>
      </c>
      <c r="T71" s="207"/>
      <c r="U71" s="207" t="s">
        <v>6421</v>
      </c>
      <c r="V71" s="207"/>
      <c r="W71" s="207"/>
      <c r="X71" s="207" t="s">
        <v>6422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6423</v>
      </c>
      <c r="B74" s="207" t="s">
        <v>6424</v>
      </c>
      <c r="C74" s="207" t="s">
        <v>6425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5957</v>
      </c>
      <c r="C77" s="207" t="s">
        <v>6426</v>
      </c>
      <c r="D77" s="207"/>
      <c r="E77" s="207"/>
      <c r="F77" s="207" t="s">
        <v>6427</v>
      </c>
      <c r="G77" s="207"/>
      <c r="H77" s="207"/>
      <c r="I77" s="207"/>
      <c r="J77" s="207" t="s">
        <v>6428</v>
      </c>
      <c r="K77" s="207"/>
      <c r="L77" s="207"/>
      <c r="M77" s="207"/>
      <c r="N77" s="207"/>
      <c r="O77" s="207" t="s">
        <v>6265</v>
      </c>
      <c r="P77" s="207"/>
      <c r="Q77" s="207" t="s">
        <v>5947</v>
      </c>
      <c r="R77" s="207"/>
      <c r="S77" s="207" t="s">
        <v>6126</v>
      </c>
      <c r="T77" s="207"/>
      <c r="U77" s="207" t="s">
        <v>6125</v>
      </c>
      <c r="V77" s="207"/>
      <c r="W77" s="207"/>
      <c r="X77" s="207" t="s">
        <v>6429</v>
      </c>
      <c r="Y77" s="207"/>
      <c r="Z77" s="207" t="s">
        <v>6430</v>
      </c>
      <c r="AA77" s="207"/>
      <c r="AB77" s="207"/>
      <c r="AC77" s="207" t="s">
        <v>6127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5957</v>
      </c>
      <c r="C81" s="207" t="s">
        <v>6431</v>
      </c>
      <c r="D81" s="207"/>
      <c r="E81" s="207"/>
      <c r="F81" s="207" t="s">
        <v>6432</v>
      </c>
      <c r="G81" s="207"/>
      <c r="H81" s="207"/>
      <c r="I81" s="207"/>
      <c r="J81" s="207" t="s">
        <v>6433</v>
      </c>
      <c r="K81" s="207"/>
      <c r="L81" s="207"/>
      <c r="M81" s="207"/>
      <c r="N81" s="207"/>
      <c r="O81" s="207" t="s">
        <v>6434</v>
      </c>
      <c r="P81" s="207"/>
      <c r="Q81" s="207" t="s">
        <v>5947</v>
      </c>
      <c r="R81" s="207"/>
      <c r="S81" s="207" t="s">
        <v>6080</v>
      </c>
      <c r="T81" s="207"/>
      <c r="U81" s="207" t="s">
        <v>6079</v>
      </c>
      <c r="V81" s="207"/>
      <c r="W81" s="207"/>
      <c r="X81" s="207" t="s">
        <v>6435</v>
      </c>
      <c r="Y81" s="207"/>
      <c r="Z81" s="207" t="s">
        <v>6430</v>
      </c>
      <c r="AA81" s="207"/>
      <c r="AB81" s="207"/>
      <c r="AC81" s="207" t="s">
        <v>6081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5957</v>
      </c>
      <c r="C84" s="207" t="s">
        <v>6436</v>
      </c>
      <c r="D84" s="207"/>
      <c r="E84" s="207"/>
      <c r="F84" s="207" t="s">
        <v>6437</v>
      </c>
      <c r="G84" s="207"/>
      <c r="H84" s="207"/>
      <c r="I84" s="207"/>
      <c r="J84" s="207" t="s">
        <v>6438</v>
      </c>
      <c r="K84" s="207"/>
      <c r="L84" s="207"/>
      <c r="M84" s="207"/>
      <c r="N84" s="207"/>
      <c r="O84" s="207" t="s">
        <v>6265</v>
      </c>
      <c r="P84" s="207"/>
      <c r="Q84" s="207" t="s">
        <v>5947</v>
      </c>
      <c r="R84" s="207"/>
      <c r="S84" s="207" t="s">
        <v>5948</v>
      </c>
      <c r="T84" s="207"/>
      <c r="U84" s="207" t="s">
        <v>6439</v>
      </c>
      <c r="V84" s="207"/>
      <c r="W84" s="207"/>
      <c r="X84" s="207" t="s">
        <v>6440</v>
      </c>
      <c r="Y84" s="207"/>
      <c r="Z84" s="207" t="s">
        <v>6430</v>
      </c>
      <c r="AA84" s="207"/>
      <c r="AB84" s="207"/>
      <c r="AC84" s="207" t="s">
        <v>5949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5957</v>
      </c>
      <c r="C87" s="207" t="s">
        <v>6441</v>
      </c>
      <c r="D87" s="207"/>
      <c r="E87" s="207"/>
      <c r="F87" s="207" t="s">
        <v>6442</v>
      </c>
      <c r="G87" s="207"/>
      <c r="H87" s="207"/>
      <c r="I87" s="207"/>
      <c r="J87" s="207" t="s">
        <v>6443</v>
      </c>
      <c r="K87" s="207"/>
      <c r="L87" s="207"/>
      <c r="M87" s="207"/>
      <c r="N87" s="207"/>
      <c r="O87" s="207" t="s">
        <v>6444</v>
      </c>
      <c r="P87" s="207"/>
      <c r="Q87" s="207" t="s">
        <v>5947</v>
      </c>
      <c r="R87" s="207"/>
      <c r="S87" s="207" t="s">
        <v>6297</v>
      </c>
      <c r="T87" s="207"/>
      <c r="U87" s="207" t="s">
        <v>6296</v>
      </c>
      <c r="V87" s="207"/>
      <c r="W87" s="207"/>
      <c r="X87" s="207" t="s">
        <v>6429</v>
      </c>
      <c r="Y87" s="207"/>
      <c r="Z87" s="207" t="s">
        <v>6430</v>
      </c>
      <c r="AA87" s="207"/>
      <c r="AB87" s="207"/>
      <c r="AC87" s="207" t="s">
        <v>6298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5957</v>
      </c>
      <c r="C90" s="207" t="s">
        <v>6445</v>
      </c>
      <c r="D90" s="207"/>
      <c r="E90" s="207"/>
      <c r="F90" s="207" t="s">
        <v>6446</v>
      </c>
      <c r="G90" s="207"/>
      <c r="H90" s="207"/>
      <c r="I90" s="207"/>
      <c r="J90" s="207" t="s">
        <v>6447</v>
      </c>
      <c r="K90" s="207"/>
      <c r="L90" s="207"/>
      <c r="M90" s="207"/>
      <c r="N90" s="207"/>
      <c r="O90" s="207" t="s">
        <v>6448</v>
      </c>
      <c r="P90" s="207"/>
      <c r="Q90" s="207" t="s">
        <v>5957</v>
      </c>
      <c r="R90" s="207"/>
      <c r="S90" s="207" t="s">
        <v>6449</v>
      </c>
      <c r="T90" s="207"/>
      <c r="U90" s="207" t="s">
        <v>6450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6453</v>
      </c>
      <c r="R98" s="207"/>
      <c r="S98" s="207"/>
      <c r="T98" s="207"/>
      <c r="U98" s="207" t="s">
        <v>6454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6425</v>
      </c>
      <c r="S101" s="207"/>
      <c r="T101" s="207"/>
      <c r="U101" s="207" t="s">
        <v>6455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6425</v>
      </c>
      <c r="R106" s="207"/>
      <c r="S106" s="207"/>
      <c r="T106" s="207"/>
      <c r="U106" s="207" t="s">
        <v>6456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964</v>
      </c>
      <c r="H4" s="115">
        <f>C4*G4</f>
        <v>284380000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311535261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964</v>
      </c>
      <c r="H19" s="115">
        <f>C19*G19</f>
        <v>12470304</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292026932</v>
      </c>
    </row>
    <row r="26" spans="1:8">
      <c r="D26" t="s">
        <v>5405</v>
      </c>
      <c r="E26" s="112">
        <f>'خرید خانه'!H10+'خرید خانه'!H23-'خرید خانه'!D10-'خرید خانه'!D23</f>
        <v>301862193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2021-05-20T12:11:52Z</dcterms:modified>
</cp:coreProperties>
</file>