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6"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K98" i="63" l="1"/>
  <c r="K99" i="63"/>
  <c r="K100" i="63"/>
  <c r="K101" i="63"/>
  <c r="K102" i="63"/>
  <c r="K103" i="63"/>
  <c r="K104" i="63"/>
  <c r="K105" i="63"/>
  <c r="K106" i="63"/>
  <c r="K97" i="63"/>
  <c r="K109" i="63"/>
  <c r="G104" i="63"/>
  <c r="H104" i="63"/>
  <c r="I104" i="63"/>
  <c r="W440" i="18" l="1"/>
  <c r="W441" i="18"/>
  <c r="W442" i="18"/>
  <c r="W443" i="18"/>
  <c r="W444" i="18"/>
  <c r="W445" i="18"/>
  <c r="W446" i="18"/>
  <c r="W447" i="18"/>
  <c r="W448" i="18"/>
  <c r="H103" i="63"/>
  <c r="I103" i="63"/>
  <c r="O454" i="52" l="1"/>
  <c r="J454" i="52"/>
  <c r="G102" i="63"/>
  <c r="G103" i="63"/>
  <c r="G106" i="63"/>
  <c r="G107" i="63"/>
  <c r="H102" i="63"/>
  <c r="I102" i="63"/>
  <c r="W439" i="18" l="1"/>
  <c r="G101" i="63"/>
  <c r="F94" i="63"/>
  <c r="C94" i="63"/>
  <c r="G91" i="63"/>
  <c r="H91" i="63"/>
  <c r="I91" i="63"/>
  <c r="G92" i="63"/>
  <c r="H92" i="63"/>
  <c r="I92" i="63"/>
  <c r="G93" i="63"/>
  <c r="H93" i="63"/>
  <c r="I93" i="63"/>
  <c r="I94" i="63" l="1"/>
  <c r="H94" i="63"/>
  <c r="G100" i="63"/>
  <c r="G119" i="18" l="1"/>
  <c r="J119" i="18" s="1"/>
  <c r="G118" i="18"/>
  <c r="J118" i="18" s="1"/>
  <c r="I122" i="18" l="1"/>
  <c r="W438" i="18"/>
  <c r="H96" i="63"/>
  <c r="W437" i="18"/>
  <c r="U449" i="18"/>
  <c r="W436" i="18" l="1"/>
  <c r="W435" i="18"/>
  <c r="W434" i="18" l="1"/>
  <c r="G113" i="63"/>
  <c r="G96" i="63" l="1"/>
  <c r="H293" i="18" l="1"/>
  <c r="W433" i="18"/>
  <c r="W432" i="18" l="1"/>
  <c r="W431" i="18" l="1"/>
  <c r="D119" i="63"/>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D171" i="63" s="1"/>
  <c r="D172" i="63" s="1"/>
  <c r="F89" i="63" l="1"/>
  <c r="C89" i="63"/>
  <c r="W430" i="18" l="1"/>
  <c r="W429"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5" i="52"/>
  <c r="J456" i="52"/>
  <c r="J457" i="52"/>
  <c r="J458" i="52"/>
  <c r="J459" i="52"/>
  <c r="J460" i="52"/>
  <c r="J461" i="52"/>
  <c r="J462" i="52"/>
  <c r="J463" i="52"/>
  <c r="J464" i="52"/>
  <c r="J465" i="52"/>
  <c r="J466" i="52"/>
  <c r="W428" i="18"/>
  <c r="P454" i="52" l="1"/>
  <c r="P456" i="52"/>
  <c r="P460" i="52"/>
  <c r="P453" i="52"/>
  <c r="P449" i="52"/>
  <c r="P445" i="52"/>
  <c r="P465" i="52"/>
  <c r="P461" i="52"/>
  <c r="P452" i="52"/>
  <c r="P448" i="52"/>
  <c r="P463" i="52"/>
  <c r="P459" i="52"/>
  <c r="P450" i="52"/>
  <c r="P446" i="52"/>
  <c r="P442" i="52"/>
  <c r="P464" i="52"/>
  <c r="P457" i="52"/>
  <c r="P455" i="52"/>
  <c r="P451" i="52"/>
  <c r="P447" i="52"/>
  <c r="P466" i="52"/>
  <c r="P462" i="52"/>
  <c r="P458" i="52"/>
  <c r="P444" i="52"/>
  <c r="P443" i="52"/>
  <c r="W427" i="18"/>
  <c r="W426" i="18" l="1"/>
  <c r="A118" i="63" l="1"/>
  <c r="A122" i="63"/>
  <c r="A123" i="63" s="1"/>
  <c r="C119" i="63"/>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E119" i="63"/>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F119" i="63"/>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A119" i="63" l="1"/>
  <c r="W425" i="18"/>
  <c r="W424" i="18" l="1"/>
  <c r="W423" i="18" l="1"/>
  <c r="G87" i="63" l="1"/>
  <c r="H87" i="63"/>
  <c r="K87" i="63" s="1"/>
  <c r="I87" i="63"/>
  <c r="W422" i="18" l="1"/>
  <c r="W421" i="18" l="1"/>
  <c r="W420" i="18" l="1"/>
  <c r="G114" i="63"/>
  <c r="J154" i="18"/>
  <c r="W419" i="18" l="1"/>
  <c r="W418" i="18" l="1"/>
  <c r="W417" i="18" l="1"/>
  <c r="V165" i="18" l="1"/>
  <c r="W416" i="18"/>
  <c r="I166" i="18" l="1"/>
  <c r="G166" i="18"/>
  <c r="W412" i="18"/>
  <c r="W415" i="18"/>
  <c r="R485" i="18" l="1"/>
  <c r="W414" i="18"/>
  <c r="W413" i="18" l="1"/>
  <c r="W411" i="18" l="1"/>
  <c r="G99" i="63"/>
  <c r="H99" i="63"/>
  <c r="I99" i="63"/>
  <c r="H100" i="63"/>
  <c r="I100" i="63"/>
  <c r="H101" i="63"/>
  <c r="I101" i="63"/>
  <c r="H106" i="63"/>
  <c r="I106" i="63"/>
  <c r="H107" i="63"/>
  <c r="I107" i="63"/>
  <c r="K107" i="63" l="1"/>
  <c r="W410" i="18" l="1"/>
  <c r="W408" i="18" l="1"/>
  <c r="W407" i="18"/>
  <c r="W406" i="18"/>
  <c r="W402" i="18"/>
  <c r="W403" i="18"/>
  <c r="W404" i="18"/>
  <c r="W405" i="18"/>
  <c r="W401" i="18"/>
  <c r="W409" i="18"/>
  <c r="V166" i="18" l="1"/>
  <c r="T158" i="18" s="1"/>
  <c r="L44" i="18"/>
  <c r="W400" i="18" l="1"/>
  <c r="W399" i="18" l="1"/>
  <c r="W398" i="18" l="1"/>
  <c r="W397" i="18" l="1"/>
  <c r="W396" i="18" l="1"/>
  <c r="W395" i="18" l="1"/>
  <c r="W394" i="18"/>
  <c r="J114"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3"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2" i="18"/>
  <c r="W391" i="18" l="1"/>
  <c r="W390" i="18" l="1"/>
  <c r="W389" i="18" l="1"/>
  <c r="W388" i="18" l="1"/>
  <c r="W387" i="18"/>
  <c r="R307" i="18"/>
  <c r="W386" i="18"/>
  <c r="W385" i="18"/>
  <c r="W384" i="18" l="1"/>
  <c r="W383" i="18" l="1"/>
  <c r="I113" i="63" l="1"/>
  <c r="I114" i="63" s="1"/>
  <c r="W382" i="18" l="1"/>
  <c r="V468" i="18"/>
  <c r="S248" i="18" l="1"/>
  <c r="G112" i="63" l="1"/>
  <c r="I89" i="63" l="1"/>
  <c r="W381"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80" i="18"/>
  <c r="L89" i="63" l="1"/>
  <c r="AL242" i="18"/>
  <c r="AM243" i="18"/>
  <c r="W379" i="18"/>
  <c r="W378" i="18"/>
  <c r="AJ250" i="18"/>
  <c r="AL241" i="18" l="1"/>
  <c r="AM242" i="18"/>
  <c r="AL240" i="18" l="1"/>
  <c r="AM241" i="18"/>
  <c r="W377" i="18"/>
  <c r="S110" i="18"/>
  <c r="AL239" i="18" l="1"/>
  <c r="AM240" i="18"/>
  <c r="W376"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5" i="18"/>
  <c r="W374" i="18"/>
  <c r="W373" i="18"/>
  <c r="W372" i="18"/>
  <c r="W371" i="18"/>
  <c r="W370"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4" i="18"/>
  <c r="W365" i="18"/>
  <c r="W366" i="18"/>
  <c r="W367" i="18"/>
  <c r="W368" i="18"/>
  <c r="W369" i="18"/>
  <c r="AL230" i="18" l="1"/>
  <c r="AM231" i="18"/>
  <c r="W363" i="18"/>
  <c r="AL229" i="18" l="1"/>
  <c r="AM230" i="18"/>
  <c r="W362" i="18"/>
  <c r="AL228" i="18" l="1"/>
  <c r="AM229" i="18"/>
  <c r="W361"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0" i="18"/>
  <c r="AL227" i="18" l="1"/>
  <c r="AM228" i="18"/>
  <c r="P375" i="52"/>
  <c r="P376" i="52"/>
  <c r="P368" i="52"/>
  <c r="P373" i="52"/>
  <c r="P372" i="52"/>
  <c r="P371" i="52"/>
  <c r="P370" i="52"/>
  <c r="P369" i="52"/>
  <c r="W359" i="18"/>
  <c r="AL226" i="18" l="1"/>
  <c r="AM227" i="18"/>
  <c r="AL225" i="18" l="1"/>
  <c r="AM226" i="18"/>
  <c r="W358" i="18"/>
  <c r="AL441" i="18"/>
  <c r="AM441" i="18" s="1"/>
  <c r="AL224" i="18" l="1"/>
  <c r="AM225" i="18"/>
  <c r="AL440" i="18"/>
  <c r="AL223" i="18" l="1"/>
  <c r="AM224" i="18"/>
  <c r="AL439" i="18"/>
  <c r="AM440" i="18"/>
  <c r="W357"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6" i="18"/>
  <c r="AL217" i="18" l="1"/>
  <c r="AM218" i="18"/>
  <c r="AL433" i="18"/>
  <c r="AM434" i="18"/>
  <c r="W355" i="18"/>
  <c r="AL216" i="18" l="1"/>
  <c r="AM217" i="18"/>
  <c r="AM433" i="18"/>
  <c r="AL432" i="18"/>
  <c r="W354" i="18"/>
  <c r="AL215" i="18" l="1"/>
  <c r="AM216" i="18"/>
  <c r="AL431" i="18"/>
  <c r="AM432" i="18"/>
  <c r="M184" i="18"/>
  <c r="L184" i="18"/>
  <c r="W353" i="18"/>
  <c r="AL214" i="18" l="1"/>
  <c r="AM214" i="18" s="1"/>
  <c r="AM215" i="18"/>
  <c r="AM431" i="18"/>
  <c r="AL430" i="18"/>
  <c r="W352" i="18"/>
  <c r="AL429" i="18" l="1"/>
  <c r="AM430" i="18"/>
  <c r="W351" i="18"/>
  <c r="AM429" i="18" l="1"/>
  <c r="AL428" i="18"/>
  <c r="D160" i="58"/>
  <c r="AL427" i="18" l="1"/>
  <c r="AM428" i="18"/>
  <c r="M183" i="18"/>
  <c r="L183" i="18"/>
  <c r="AM427" i="18" l="1"/>
  <c r="AL426" i="18"/>
  <c r="M182" i="18"/>
  <c r="L182" i="18"/>
  <c r="G94" i="63" l="1"/>
  <c r="K94" i="63"/>
  <c r="AL425" i="18"/>
  <c r="AM426" i="18"/>
  <c r="L179" i="18"/>
  <c r="M179" i="18"/>
  <c r="L180" i="18"/>
  <c r="M180" i="18"/>
  <c r="L181" i="18"/>
  <c r="M181" i="18"/>
  <c r="L188" i="18"/>
  <c r="M188" i="18"/>
  <c r="P41" i="18"/>
  <c r="L94" i="63" l="1"/>
  <c r="AM425" i="18"/>
  <c r="AL424" i="18"/>
  <c r="O348" i="52"/>
  <c r="G142" i="18"/>
  <c r="J142" i="18" s="1"/>
  <c r="W350" i="18"/>
  <c r="AL423" i="18" l="1"/>
  <c r="AM424" i="18"/>
  <c r="G102" i="18"/>
  <c r="G101" i="18"/>
  <c r="J127" i="18"/>
  <c r="G126" i="18"/>
  <c r="J126" i="18" s="1"/>
  <c r="W349" i="18"/>
  <c r="J347" i="52"/>
  <c r="AM423" i="18" l="1"/>
  <c r="AL422" i="18"/>
  <c r="I129" i="18"/>
  <c r="L178" i="18"/>
  <c r="M178" i="18"/>
  <c r="M177" i="18"/>
  <c r="L177" i="18"/>
  <c r="W348" i="18"/>
  <c r="AM422" i="18" l="1"/>
  <c r="AL421" i="18"/>
  <c r="F109" i="63"/>
  <c r="C109" i="63"/>
  <c r="W347" i="18"/>
  <c r="I109" i="63" l="1"/>
  <c r="G109" i="63"/>
  <c r="AM421" i="18"/>
  <c r="AL420" i="18"/>
  <c r="H109" i="63"/>
  <c r="AL419" i="18" l="1"/>
  <c r="AM420" i="18"/>
  <c r="AL418" i="18" l="1"/>
  <c r="AM419" i="18"/>
  <c r="W346" i="18" l="1"/>
  <c r="W345" i="18" l="1"/>
  <c r="W344" i="18" l="1"/>
  <c r="W343" i="18" l="1"/>
  <c r="N348" i="52"/>
  <c r="W342"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8" i="63"/>
  <c r="H98" i="63"/>
  <c r="G98" i="63"/>
  <c r="I83" i="63"/>
  <c r="H83" i="63"/>
  <c r="G83" i="63"/>
  <c r="J319" i="52"/>
  <c r="L109" i="63" l="1"/>
  <c r="O319" i="52"/>
  <c r="G84" i="63" l="1"/>
  <c r="H84" i="63"/>
  <c r="I84" i="63"/>
  <c r="G85" i="63"/>
  <c r="H85" i="63"/>
  <c r="I85" i="63"/>
  <c r="X98" i="63" l="1"/>
  <c r="I97" i="63"/>
  <c r="G97" i="63"/>
  <c r="L96" i="63" s="1"/>
  <c r="H97" i="63"/>
  <c r="I96" i="63" l="1"/>
  <c r="G77" i="63"/>
  <c r="G78" i="63"/>
  <c r="G79" i="63"/>
  <c r="G80" i="63"/>
  <c r="I80" i="63"/>
  <c r="H80" i="63"/>
  <c r="M109" i="63" l="1"/>
  <c r="W322" i="18"/>
  <c r="N108" i="63" l="1"/>
  <c r="M110" i="63"/>
  <c r="G150" i="18"/>
  <c r="J150" i="18" s="1"/>
  <c r="M111" i="63" l="1"/>
  <c r="N109" i="63"/>
  <c r="W341" i="18"/>
  <c r="H79" i="63"/>
  <c r="I79" i="63"/>
  <c r="R67" i="63"/>
  <c r="R66" i="63"/>
  <c r="N110" i="63" l="1"/>
  <c r="M112" i="63"/>
  <c r="R69" i="63"/>
  <c r="N111" i="63" l="1"/>
  <c r="M113" i="63"/>
  <c r="X113" i="63"/>
  <c r="X112" i="63"/>
  <c r="Y112" i="63" s="1"/>
  <c r="X95" i="63"/>
  <c r="V95" i="63"/>
  <c r="N112" i="63" l="1"/>
  <c r="M114"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5" i="63" l="1"/>
  <c r="N113"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4" i="63" l="1"/>
  <c r="M116" i="63"/>
  <c r="J308" i="52"/>
  <c r="N115" i="63" l="1"/>
  <c r="K117"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6" i="63" l="1"/>
  <c r="K118" i="63"/>
  <c r="F420" i="15"/>
  <c r="D419" i="15"/>
  <c r="W340" i="18"/>
  <c r="L117" i="63" l="1"/>
  <c r="K119" i="63"/>
  <c r="D418" i="15"/>
  <c r="F419" i="15"/>
  <c r="L118" i="63" l="1"/>
  <c r="K120" i="63"/>
  <c r="F418" i="15"/>
  <c r="D417" i="15"/>
  <c r="I77" i="63"/>
  <c r="W339" i="18"/>
  <c r="O305" i="52"/>
  <c r="J305" i="52"/>
  <c r="K121" i="63" l="1"/>
  <c r="L119" i="63"/>
  <c r="D416" i="15"/>
  <c r="F417" i="15"/>
  <c r="L120" i="63" l="1"/>
  <c r="K122" i="63"/>
  <c r="D415" i="15"/>
  <c r="F416" i="15"/>
  <c r="W338" i="18"/>
  <c r="W337" i="18"/>
  <c r="O302" i="52"/>
  <c r="L121" i="63" l="1"/>
  <c r="K123" i="63"/>
  <c r="F415" i="15"/>
  <c r="D414" i="15"/>
  <c r="G149" i="18"/>
  <c r="L122" i="63" l="1"/>
  <c r="K124" i="63"/>
  <c r="L123" i="63" s="1"/>
  <c r="D413" i="15"/>
  <c r="F414" i="15"/>
  <c r="D412" i="15" l="1"/>
  <c r="F413" i="15"/>
  <c r="W336" i="18"/>
  <c r="O301" i="52"/>
  <c r="J149" i="18"/>
  <c r="J152" i="18" l="1"/>
  <c r="L43" i="18" s="1"/>
  <c r="F412" i="15"/>
  <c r="D411" i="15"/>
  <c r="I152" i="18" l="1"/>
  <c r="D410" i="15"/>
  <c r="F411" i="15"/>
  <c r="W335" i="18"/>
  <c r="W334" i="18"/>
  <c r="J300" i="52"/>
  <c r="F410" i="15" l="1"/>
  <c r="D409" i="15"/>
  <c r="W333" i="18"/>
  <c r="O299" i="52"/>
  <c r="W332" i="18"/>
  <c r="W33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0" i="18"/>
  <c r="W329" i="18"/>
  <c r="W328" i="18"/>
  <c r="P26" i="18"/>
  <c r="N26" i="18" s="1"/>
  <c r="O298" i="52"/>
  <c r="D407" i="15" l="1"/>
  <c r="F408" i="15"/>
  <c r="J298" i="52"/>
  <c r="F407" i="15" l="1"/>
  <c r="D406" i="15"/>
  <c r="O297" i="52"/>
  <c r="W327" i="18"/>
  <c r="W326" i="18"/>
  <c r="W325" i="18"/>
  <c r="T470" i="18" l="1"/>
  <c r="T472" i="18" s="1"/>
  <c r="D405" i="15"/>
  <c r="F406" i="15"/>
  <c r="W324" i="18"/>
  <c r="J296" i="52"/>
  <c r="D404" i="15" l="1"/>
  <c r="F405" i="15"/>
  <c r="J295" i="52"/>
  <c r="F404" i="15" l="1"/>
  <c r="D403" i="15"/>
  <c r="W323"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J161" i="18"/>
  <c r="W316" i="18"/>
  <c r="N42" i="18"/>
  <c r="F383" i="15" l="1"/>
  <c r="D382" i="15"/>
  <c r="O269" i="52"/>
  <c r="F382" i="15" l="1"/>
  <c r="D381" i="15"/>
  <c r="J268" i="52"/>
  <c r="N268" i="52"/>
  <c r="W31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4" i="18"/>
  <c r="W31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1" i="18"/>
  <c r="W310" i="18"/>
  <c r="W309" i="18"/>
  <c r="D364" i="15" l="1"/>
  <c r="F365" i="15"/>
  <c r="O223" i="52"/>
  <c r="W308" i="18"/>
  <c r="F364" i="15" l="1"/>
  <c r="D363" i="15"/>
  <c r="J222" i="52"/>
  <c r="W307" i="18"/>
  <c r="D362" i="15" l="1"/>
  <c r="F363" i="15"/>
  <c r="W306" i="18"/>
  <c r="W305" i="18"/>
  <c r="D361" i="15" l="1"/>
  <c r="F362" i="15"/>
  <c r="O220" i="52"/>
  <c r="F361" i="15" l="1"/>
  <c r="D360" i="15"/>
  <c r="W304" i="18"/>
  <c r="W303"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301" i="18"/>
  <c r="J158" i="18" l="1"/>
  <c r="I162" i="18" s="1"/>
  <c r="F348" i="15"/>
  <c r="D347" i="15"/>
  <c r="O210" i="52"/>
  <c r="W300" i="18"/>
  <c r="D346" i="15" l="1"/>
  <c r="F347" i="15"/>
  <c r="J210" i="52"/>
  <c r="D345" i="15" l="1"/>
  <c r="F346" i="15"/>
  <c r="J209" i="52"/>
  <c r="O208" i="52"/>
  <c r="J208" i="52"/>
  <c r="D344" i="15" l="1"/>
  <c r="F345" i="15"/>
  <c r="W299" i="18"/>
  <c r="F344" i="15" l="1"/>
  <c r="D343" i="15"/>
  <c r="O207" i="52"/>
  <c r="J207" i="52"/>
  <c r="W298" i="18"/>
  <c r="D342" i="15" l="1"/>
  <c r="F343" i="15"/>
  <c r="W297" i="18"/>
  <c r="D341" i="15" l="1"/>
  <c r="F342" i="15"/>
  <c r="W296" i="18"/>
  <c r="D340" i="15" l="1"/>
  <c r="F341" i="15"/>
  <c r="O204" i="52"/>
  <c r="F340" i="15" l="1"/>
  <c r="D339" i="15"/>
  <c r="J203" i="52"/>
  <c r="W29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4" i="18"/>
  <c r="W293" i="18"/>
  <c r="W292" i="18"/>
  <c r="J202" i="52"/>
  <c r="D336" i="15" l="1"/>
  <c r="F337" i="15"/>
  <c r="W291" i="18"/>
  <c r="J201" i="52"/>
  <c r="W290" i="18"/>
  <c r="F336" i="15" l="1"/>
  <c r="D335" i="15"/>
  <c r="J200" i="52"/>
  <c r="D334" i="15" l="1"/>
  <c r="F335" i="15"/>
  <c r="W289" i="18"/>
  <c r="W288" i="18"/>
  <c r="F334" i="15" l="1"/>
  <c r="D333" i="15"/>
  <c r="W287"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W284" i="18"/>
  <c r="AL213" i="18" l="1"/>
  <c r="F327" i="15"/>
  <c r="D326" i="15"/>
  <c r="AL212" i="18" l="1"/>
  <c r="AM213" i="18"/>
  <c r="F326" i="15"/>
  <c r="D325" i="15"/>
  <c r="J195" i="52"/>
  <c r="O195" i="52"/>
  <c r="J194" i="52"/>
  <c r="W283" i="18"/>
  <c r="AL211" i="18" l="1"/>
  <c r="AM212" i="18"/>
  <c r="F325" i="15"/>
  <c r="D324" i="15"/>
  <c r="N194" i="52"/>
  <c r="W282" i="18"/>
  <c r="W281" i="18"/>
  <c r="AL210" i="18" l="1"/>
  <c r="AM211" i="18"/>
  <c r="F324" i="15"/>
  <c r="D323" i="15"/>
  <c r="W280" i="18"/>
  <c r="AM210" i="18" l="1"/>
  <c r="AL209" i="18"/>
  <c r="F323" i="15"/>
  <c r="D322" i="15"/>
  <c r="R155" i="18"/>
  <c r="S155" i="18" s="1"/>
  <c r="AL208" i="18" l="1"/>
  <c r="AM209" i="18"/>
  <c r="F322" i="15"/>
  <c r="D321" i="15"/>
  <c r="W279" i="18"/>
  <c r="AM208" i="18" l="1"/>
  <c r="AL207" i="18"/>
  <c r="F321" i="15"/>
  <c r="D320" i="15"/>
  <c r="W278" i="18"/>
  <c r="O190" i="52"/>
  <c r="J190" i="52"/>
  <c r="AL206" i="18" l="1"/>
  <c r="AM207" i="18"/>
  <c r="F320" i="15"/>
  <c r="D319" i="15"/>
  <c r="W277" i="18"/>
  <c r="AM206" i="18" l="1"/>
  <c r="AL205" i="18"/>
  <c r="F319" i="15"/>
  <c r="D318" i="15"/>
  <c r="N48" i="18"/>
  <c r="N46" i="18"/>
  <c r="AM205" i="18" l="1"/>
  <c r="AL204" i="18"/>
  <c r="F318" i="15"/>
  <c r="D317" i="15"/>
  <c r="O187" i="52"/>
  <c r="W276" i="18"/>
  <c r="AM204" i="18" l="1"/>
  <c r="AL203" i="18"/>
  <c r="F317" i="15"/>
  <c r="D316" i="15"/>
  <c r="J186" i="52"/>
  <c r="W275" i="18"/>
  <c r="W263" i="18"/>
  <c r="W262" i="18"/>
  <c r="AM203" i="18" l="1"/>
  <c r="AL202" i="18"/>
  <c r="F316" i="15"/>
  <c r="D315" i="15"/>
  <c r="J185" i="52"/>
  <c r="W274" i="18"/>
  <c r="AM202" i="18" l="1"/>
  <c r="AL201" i="18"/>
  <c r="F315" i="15"/>
  <c r="D314" i="15"/>
  <c r="AL200" i="18" l="1"/>
  <c r="AM201" i="18"/>
  <c r="F314" i="15"/>
  <c r="D313" i="15"/>
  <c r="AL199" i="18" l="1"/>
  <c r="AM200" i="18"/>
  <c r="F313" i="15"/>
  <c r="D312" i="15"/>
  <c r="N181" i="52"/>
  <c r="AL198" i="18" l="1"/>
  <c r="AM199" i="18"/>
  <c r="F312" i="15"/>
  <c r="D311" i="15"/>
  <c r="W273" i="18"/>
  <c r="B8" i="36"/>
  <c r="AL197" i="18" l="1"/>
  <c r="AM198" i="18"/>
  <c r="F311" i="15"/>
  <c r="D310" i="15"/>
  <c r="O178" i="52"/>
  <c r="J178" i="52"/>
  <c r="AM197" i="18" l="1"/>
  <c r="AL196" i="18"/>
  <c r="F310" i="15"/>
  <c r="D309" i="15"/>
  <c r="N44" i="18"/>
  <c r="G167" i="18" s="1"/>
  <c r="W272" i="18"/>
  <c r="O177" i="52"/>
  <c r="J177" i="52"/>
  <c r="M101" i="18" l="1"/>
  <c r="G168" i="18"/>
  <c r="AM196" i="18"/>
  <c r="AL195" i="18"/>
  <c r="F309" i="15"/>
  <c r="D308" i="15"/>
  <c r="O176" i="52"/>
  <c r="J176" i="52"/>
  <c r="AM195" i="18" l="1"/>
  <c r="AL194" i="18"/>
  <c r="F308" i="15"/>
  <c r="D307" i="15"/>
  <c r="F307" i="15" s="1"/>
  <c r="AM194" i="18" l="1"/>
  <c r="AL193" i="18"/>
  <c r="J174" i="52"/>
  <c r="W271" i="18"/>
  <c r="AM193" i="18" l="1"/>
  <c r="AL192" i="18"/>
  <c r="J168" i="52"/>
  <c r="O168" i="52"/>
  <c r="W270" i="18"/>
  <c r="AM192" i="18" l="1"/>
  <c r="AL191" i="18"/>
  <c r="AM191" i="18" s="1"/>
  <c r="O167" i="52"/>
  <c r="W269" i="18"/>
  <c r="O166" i="52" l="1"/>
  <c r="W268" i="18"/>
  <c r="W267" i="18" l="1"/>
  <c r="O165" i="52"/>
  <c r="J165" i="52"/>
  <c r="C7" i="60" l="1"/>
  <c r="D3" i="60"/>
  <c r="D4" i="60"/>
  <c r="D5" i="60"/>
  <c r="D2" i="60"/>
  <c r="F2" i="60"/>
  <c r="AL417" i="18" l="1"/>
  <c r="AM418" i="18"/>
  <c r="O162" i="52"/>
  <c r="J162" i="52"/>
  <c r="W266"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5" i="18"/>
  <c r="AL413" i="18" l="1"/>
  <c r="AM414" i="18"/>
  <c r="W264" i="18"/>
  <c r="AM413" i="18" l="1"/>
  <c r="AL412" i="18"/>
  <c r="AL190" i="18"/>
  <c r="AL411" i="18" l="1"/>
  <c r="AM412" i="18"/>
  <c r="AL189" i="18"/>
  <c r="AM190" i="18"/>
  <c r="N159" i="52"/>
  <c r="P160" i="52" s="1"/>
  <c r="W261"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0" i="18"/>
  <c r="W259" i="18"/>
  <c r="O150" i="52"/>
  <c r="AL406" i="18" l="1"/>
  <c r="AM407" i="18"/>
  <c r="AM185" i="18"/>
  <c r="AL184" i="18"/>
  <c r="AL405" i="18" l="1"/>
  <c r="AM406" i="18"/>
  <c r="AL183" i="18"/>
  <c r="AM184" i="18"/>
  <c r="Q146" i="52"/>
  <c r="J146" i="52"/>
  <c r="W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7" i="18"/>
  <c r="AM403" i="18" l="1"/>
  <c r="AL402" i="18"/>
  <c r="AM181" i="18"/>
  <c r="AL180" i="18"/>
  <c r="G141" i="18"/>
  <c r="J141" i="18" s="1"/>
  <c r="J143" i="18" s="1"/>
  <c r="I143" i="18" s="1"/>
  <c r="W256" i="18"/>
  <c r="AL401" i="18" l="1"/>
  <c r="AM402" i="18"/>
  <c r="AM180" i="18"/>
  <c r="AL179" i="18"/>
  <c r="O142" i="52"/>
  <c r="J142" i="52"/>
  <c r="W255" i="18"/>
  <c r="AL400" i="18" l="1"/>
  <c r="AM401" i="18"/>
  <c r="AM179" i="18"/>
  <c r="AL178" i="18"/>
  <c r="AM178" i="18" s="1"/>
  <c r="O140" i="52"/>
  <c r="J140" i="52"/>
  <c r="W254" i="18"/>
  <c r="AM400" i="18" l="1"/>
  <c r="AL399" i="18"/>
  <c r="W253" i="18"/>
  <c r="W252" i="18"/>
  <c r="O139" i="52"/>
  <c r="J139" i="52"/>
  <c r="AM399" i="18" l="1"/>
  <c r="AL398" i="18"/>
  <c r="W251" i="18"/>
  <c r="AM398" i="18" l="1"/>
  <c r="AL397" i="18"/>
  <c r="AM397" i="18" l="1"/>
  <c r="AL396" i="18"/>
  <c r="M41" i="52"/>
  <c r="AM396" i="18" l="1"/>
  <c r="AL395" i="18"/>
  <c r="O135" i="52"/>
  <c r="J135" i="52"/>
  <c r="AM395" i="18" l="1"/>
  <c r="AL394" i="18"/>
  <c r="AL393" i="18" l="1"/>
  <c r="AM394" i="18"/>
  <c r="W250" i="18"/>
  <c r="AL392" i="18" l="1"/>
  <c r="AM393" i="18"/>
  <c r="O132" i="52"/>
  <c r="W249" i="18"/>
  <c r="AM392" i="18" l="1"/>
  <c r="AL391" i="18"/>
  <c r="O131" i="52"/>
  <c r="J3" i="60"/>
  <c r="J4" i="60"/>
  <c r="J5" i="60"/>
  <c r="J2" i="60"/>
  <c r="I9" i="60"/>
  <c r="I7" i="60"/>
  <c r="AL390" i="18" l="1"/>
  <c r="AM391" i="18"/>
  <c r="O130" i="52"/>
  <c r="O129" i="52"/>
  <c r="W248" i="18"/>
  <c r="W247" i="18"/>
  <c r="AL389" i="18" l="1"/>
  <c r="AM390" i="18"/>
  <c r="N129" i="52"/>
  <c r="AL388" i="18" l="1"/>
  <c r="AM389" i="18"/>
  <c r="O127" i="52"/>
  <c r="AL387" i="18" l="1"/>
  <c r="AM388" i="18"/>
  <c r="J126" i="52"/>
  <c r="O126" i="52"/>
  <c r="W246" i="18"/>
  <c r="AM387" i="18" l="1"/>
  <c r="AL386" i="18"/>
  <c r="O125" i="52"/>
  <c r="J125" i="52"/>
  <c r="AM386" i="18" l="1"/>
  <c r="AL385" i="18"/>
  <c r="W245"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4"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3" i="18"/>
  <c r="AM382" i="18" l="1"/>
  <c r="AL381" i="18"/>
  <c r="AM381" i="18" l="1"/>
  <c r="AL380" i="18"/>
  <c r="O121" i="52"/>
  <c r="J121" i="52"/>
  <c r="W242" i="18"/>
  <c r="AL379" i="18" l="1"/>
  <c r="AM380" i="18"/>
  <c r="W241" i="18"/>
  <c r="J120" i="52"/>
  <c r="AM379" i="18" l="1"/>
  <c r="AL378" i="18"/>
  <c r="AL377" i="18" l="1"/>
  <c r="AM378" i="18"/>
  <c r="O117" i="52"/>
  <c r="AM377" i="18" l="1"/>
  <c r="AL376" i="18"/>
  <c r="O116" i="52"/>
  <c r="N116" i="52"/>
  <c r="AM376" i="18" l="1"/>
  <c r="AL375" i="18"/>
  <c r="W240"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9" i="18"/>
  <c r="J108" i="52"/>
  <c r="AM367" i="18" l="1"/>
  <c r="AL366" i="18"/>
  <c r="D303" i="15"/>
  <c r="F303" i="15" s="1"/>
  <c r="W238" i="18"/>
  <c r="W237"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6"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5"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4"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5" i="18"/>
  <c r="W233" i="18"/>
  <c r="W232" i="18"/>
  <c r="W231" i="18"/>
  <c r="M48" i="52"/>
  <c r="M47" i="52"/>
  <c r="N38" i="52"/>
  <c r="N37" i="52"/>
  <c r="M49" i="52"/>
  <c r="N50" i="52" s="1"/>
  <c r="AL350" i="18" l="1"/>
  <c r="AM351" i="18"/>
  <c r="D287" i="15"/>
  <c r="F287" i="15" s="1"/>
  <c r="N49" i="52"/>
  <c r="W230" i="18"/>
  <c r="AM350" i="18" l="1"/>
  <c r="AL349" i="18"/>
  <c r="D286" i="15"/>
  <c r="F286" i="15" s="1"/>
  <c r="AL348" i="18" l="1"/>
  <c r="AM349" i="18"/>
  <c r="D285" i="15"/>
  <c r="F285" i="15" s="1"/>
  <c r="W229"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8" i="18"/>
  <c r="AM346" i="18" l="1"/>
  <c r="AL345" i="18"/>
  <c r="D282" i="15"/>
  <c r="F282" i="15" s="1"/>
  <c r="G32" i="57"/>
  <c r="H32" i="57"/>
  <c r="D32" i="57"/>
  <c r="I32" i="57" s="1"/>
  <c r="D345" i="20"/>
  <c r="W227" i="18"/>
  <c r="W226"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5" i="18"/>
  <c r="D343" i="20"/>
  <c r="AL341" i="18" l="1"/>
  <c r="AM342" i="18"/>
  <c r="D278" i="15"/>
  <c r="F278" i="15" s="1"/>
  <c r="W224" i="18"/>
  <c r="D342" i="20"/>
  <c r="J83" i="52"/>
  <c r="O83" i="52"/>
  <c r="W223" i="18"/>
  <c r="W222" i="18"/>
  <c r="F44" i="14"/>
  <c r="F45" i="14"/>
  <c r="F46" i="14"/>
  <c r="F47" i="14"/>
  <c r="F48" i="14"/>
  <c r="F49" i="14"/>
  <c r="F50" i="14"/>
  <c r="D341" i="20"/>
  <c r="AL340" i="18" l="1"/>
  <c r="AM341" i="18"/>
  <c r="D277" i="15"/>
  <c r="F277" i="15" s="1"/>
  <c r="AJ442" i="18"/>
  <c r="AM340" i="18" l="1"/>
  <c r="AL339" i="18"/>
  <c r="D276" i="15"/>
  <c r="F276" i="15" s="1"/>
  <c r="W221" i="18"/>
  <c r="AL338" i="18" l="1"/>
  <c r="AM339" i="18"/>
  <c r="D340" i="20"/>
  <c r="W220" i="18"/>
  <c r="H337" i="20"/>
  <c r="H338" i="20"/>
  <c r="H339" i="20"/>
  <c r="H340" i="20"/>
  <c r="H341" i="20"/>
  <c r="H368" i="20"/>
  <c r="H369" i="20"/>
  <c r="D339" i="20"/>
  <c r="AL337" i="18" l="1"/>
  <c r="AM338" i="18"/>
  <c r="B371" i="20"/>
  <c r="D332" i="20"/>
  <c r="D333" i="20"/>
  <c r="D334" i="20"/>
  <c r="D335" i="20"/>
  <c r="D336" i="20"/>
  <c r="D337" i="20"/>
  <c r="D338" i="20"/>
  <c r="D369" i="20"/>
  <c r="AL336" i="18" l="1"/>
  <c r="AM337" i="18"/>
  <c r="W219" i="18"/>
  <c r="D80" i="57"/>
  <c r="AL335" i="18" l="1"/>
  <c r="AM336" i="18"/>
  <c r="G46" i="10"/>
  <c r="AL334" i="18" l="1"/>
  <c r="AM335" i="18"/>
  <c r="D331" i="20"/>
  <c r="AL333" i="18" l="1"/>
  <c r="AM334" i="18"/>
  <c r="D330" i="20"/>
  <c r="AL332" i="18" l="1"/>
  <c r="AM333" i="18"/>
  <c r="W218" i="18"/>
  <c r="W217"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6" i="18"/>
  <c r="W215" i="18"/>
  <c r="AL320" i="18" l="1"/>
  <c r="AM321" i="18"/>
  <c r="R17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4" i="18"/>
  <c r="W213" i="18"/>
  <c r="L33" i="18"/>
  <c r="N36" i="52"/>
  <c r="N35" i="52"/>
  <c r="Q42" i="52"/>
  <c r="AL318" i="18" l="1"/>
  <c r="AM319" i="18"/>
  <c r="W212" i="18"/>
  <c r="W211"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0" i="18"/>
  <c r="W209" i="18"/>
  <c r="N32" i="52"/>
  <c r="N31" i="52"/>
  <c r="AL313" i="18" l="1"/>
  <c r="AM313" i="18" s="1"/>
  <c r="AM314" i="18"/>
  <c r="W208" i="18"/>
  <c r="W207" i="18"/>
  <c r="N30" i="52"/>
  <c r="N29" i="52"/>
  <c r="W206" i="18" l="1"/>
  <c r="W205" i="18"/>
  <c r="N28" i="52"/>
  <c r="N27" i="52"/>
  <c r="AL312" i="18" l="1"/>
  <c r="D313" i="20"/>
  <c r="AL311" i="18" l="1"/>
  <c r="AM312" i="18"/>
  <c r="L108" i="18"/>
  <c r="L103" i="18" l="1"/>
  <c r="N103" i="18" s="1"/>
  <c r="L105" i="18"/>
  <c r="N105" i="18" s="1"/>
  <c r="L104" i="18"/>
  <c r="N104" i="18" s="1"/>
  <c r="M108" i="18"/>
  <c r="AM311" i="18"/>
  <c r="AL310" i="18"/>
  <c r="L100" i="18"/>
  <c r="W204" i="18"/>
  <c r="W203"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2" i="18"/>
  <c r="W201" i="18"/>
  <c r="N23" i="52"/>
  <c r="N22" i="52"/>
  <c r="I368" i="20" l="1"/>
  <c r="G367" i="20"/>
  <c r="J368" i="20"/>
  <c r="K368" i="20"/>
  <c r="AL307" i="18"/>
  <c r="AM308" i="18"/>
  <c r="W200" i="18"/>
  <c r="W199"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8" i="18"/>
  <c r="W197"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6" i="18"/>
  <c r="W195" i="18"/>
  <c r="N17" i="52"/>
  <c r="N16" i="52"/>
  <c r="AL170" i="18" l="1"/>
  <c r="AM171" i="18"/>
  <c r="I356" i="20"/>
  <c r="G355" i="20"/>
  <c r="J356" i="20"/>
  <c r="K356" i="20"/>
  <c r="L101" i="18"/>
  <c r="AL169" i="18" l="1"/>
  <c r="AL168" i="18" s="1"/>
  <c r="AM170" i="18"/>
  <c r="J355" i="20"/>
  <c r="I355" i="20"/>
  <c r="G354" i="20"/>
  <c r="K355" i="20"/>
  <c r="W194" i="18"/>
  <c r="W193" i="18"/>
  <c r="D303" i="20"/>
  <c r="D302" i="20"/>
  <c r="W192"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0" i="18"/>
  <c r="AL163" i="18" l="1"/>
  <c r="AM164" i="18"/>
  <c r="I350" i="20"/>
  <c r="J350" i="20"/>
  <c r="K350" i="20"/>
  <c r="G349" i="20"/>
  <c r="D296" i="20"/>
  <c r="D295" i="20"/>
  <c r="AM163" i="18" l="1"/>
  <c r="AL162" i="18"/>
  <c r="K349" i="20"/>
  <c r="I349" i="20"/>
  <c r="J349" i="20"/>
  <c r="G348" i="20"/>
  <c r="W189" i="18"/>
  <c r="W188"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7" i="18"/>
  <c r="W186" i="18"/>
  <c r="AM161" i="18" l="1"/>
  <c r="AL160" i="18"/>
  <c r="G346" i="20"/>
  <c r="J347" i="20"/>
  <c r="I347" i="20"/>
  <c r="K347" i="20"/>
  <c r="D293" i="20"/>
  <c r="AL159" i="18" l="1"/>
  <c r="AM160" i="18"/>
  <c r="K346" i="20"/>
  <c r="G345" i="20"/>
  <c r="J346" i="20"/>
  <c r="I346" i="20"/>
  <c r="W185" i="18"/>
  <c r="AM159" i="18" l="1"/>
  <c r="AL158" i="18"/>
  <c r="K345" i="20"/>
  <c r="G344" i="20"/>
  <c r="J345" i="20"/>
  <c r="I345" i="20"/>
  <c r="D292" i="20"/>
  <c r="C8" i="36"/>
  <c r="W18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2"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0" i="18"/>
  <c r="AM124" i="18" l="1"/>
  <c r="AL123" i="18"/>
  <c r="AM123" i="18" l="1"/>
  <c r="AL122" i="18"/>
  <c r="AL121" i="18" l="1"/>
  <c r="AM122" i="18"/>
  <c r="W174" i="18"/>
  <c r="W175" i="18"/>
  <c r="W176" i="18"/>
  <c r="W177" i="18"/>
  <c r="W178" i="18"/>
  <c r="W179" i="18"/>
  <c r="W191" i="18"/>
  <c r="W173" i="18"/>
  <c r="AM121" i="18" l="1"/>
  <c r="AL120" i="18"/>
  <c r="N47" i="18"/>
  <c r="AM120" i="18" l="1"/>
  <c r="AL119" i="18"/>
  <c r="AM119" i="18" l="1"/>
  <c r="AL118" i="18"/>
  <c r="S82" i="18"/>
  <c r="S83" i="18" s="1"/>
  <c r="S84" i="18" s="1"/>
  <c r="R179" i="18"/>
  <c r="R177" i="18"/>
  <c r="D57" i="51"/>
  <c r="AL117" i="18" l="1"/>
  <c r="AM118" i="18"/>
  <c r="S85" i="18"/>
  <c r="S86" i="18" s="1"/>
  <c r="AM117" i="18" l="1"/>
  <c r="AL116" i="18"/>
  <c r="S87" i="18"/>
  <c r="S88" i="18" s="1"/>
  <c r="N28" i="18"/>
  <c r="Q101" i="18" l="1"/>
  <c r="R17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50"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5"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4" i="18"/>
  <c r="R190" i="18" s="1"/>
  <c r="AJ256" i="18"/>
  <c r="AJ257" i="18" s="1"/>
  <c r="G305" i="20"/>
  <c r="I306" i="20"/>
  <c r="K306" i="20"/>
  <c r="J306" i="20"/>
  <c r="AL74" i="18"/>
  <c r="AM75" i="18"/>
  <c r="T452" i="18" l="1"/>
  <c r="V455" i="18" s="1"/>
  <c r="U465" i="18"/>
  <c r="V465" i="18" s="1"/>
  <c r="G304" i="20"/>
  <c r="I305" i="20"/>
  <c r="K305" i="20"/>
  <c r="J305" i="20"/>
  <c r="AL73" i="18"/>
  <c r="AM74" i="18"/>
  <c r="R105" i="18"/>
  <c r="V148" i="18" l="1"/>
  <c r="V149" i="18"/>
  <c r="V147" i="18"/>
  <c r="V61" i="18"/>
  <c r="V76" i="18"/>
  <c r="V59" i="18"/>
  <c r="V60" i="18"/>
  <c r="V75" i="18"/>
  <c r="V58" i="18"/>
  <c r="V57" i="18"/>
  <c r="V56" i="18"/>
  <c r="V52" i="18"/>
  <c r="V53" i="18"/>
  <c r="V54" i="18"/>
  <c r="V55" i="18"/>
  <c r="V50" i="18"/>
  <c r="V51" i="18"/>
  <c r="V49" i="18"/>
  <c r="V46" i="18"/>
  <c r="V47" i="18"/>
  <c r="V48" i="18"/>
  <c r="V98" i="18"/>
  <c r="W159"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61"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8" i="18" l="1"/>
  <c r="X148" i="18"/>
  <c r="W147" i="18"/>
  <c r="X147" i="18"/>
  <c r="X149" i="18"/>
  <c r="W149"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60" i="18"/>
  <c r="G302" i="20"/>
  <c r="K303" i="20"/>
  <c r="I303" i="20"/>
  <c r="J303" i="20"/>
  <c r="X26" i="18"/>
  <c r="W87" i="18"/>
  <c r="X87" i="18"/>
  <c r="W25" i="18"/>
  <c r="X25" i="18"/>
  <c r="X24" i="18"/>
  <c r="W86" i="18"/>
  <c r="X86" i="18"/>
  <c r="W23" i="18"/>
  <c r="W85" i="18"/>
  <c r="X85" i="18"/>
  <c r="W84" i="18"/>
  <c r="X84" i="18"/>
  <c r="N31" i="18"/>
  <c r="W158" i="18"/>
  <c r="W167" i="18" s="1"/>
  <c r="X83" i="18"/>
  <c r="W83" i="18"/>
  <c r="W22" i="18"/>
  <c r="X22" i="18"/>
  <c r="W20" i="18"/>
  <c r="X20" i="18"/>
  <c r="W109" i="18"/>
  <c r="X109" i="18"/>
  <c r="W21" i="18"/>
  <c r="X21" i="18"/>
  <c r="AL71" i="18"/>
  <c r="AM72" i="18"/>
  <c r="G169" i="18" l="1"/>
  <c r="I169" i="18"/>
  <c r="I170" i="18"/>
  <c r="G170" i="18"/>
  <c r="N55" i="18"/>
  <c r="L21" i="18"/>
  <c r="W168"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S135" i="18"/>
  <c r="S136" i="18" s="1"/>
  <c r="V134" i="18"/>
  <c r="G53" i="20"/>
  <c r="I54" i="20"/>
  <c r="J54" i="20"/>
  <c r="K54" i="20"/>
  <c r="F48" i="15"/>
  <c r="W134" i="18" l="1"/>
  <c r="X134" i="18"/>
  <c r="V135" i="18"/>
  <c r="G52" i="20"/>
  <c r="K53" i="20"/>
  <c r="I53" i="20"/>
  <c r="J53" i="20"/>
  <c r="F47" i="15"/>
  <c r="X135" i="18" l="1"/>
  <c r="W135" i="18"/>
  <c r="G51" i="20"/>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V137" i="18"/>
  <c r="G43" i="20"/>
  <c r="I44" i="20"/>
  <c r="J44" i="20"/>
  <c r="K44" i="20"/>
  <c r="F38" i="15"/>
  <c r="V138" i="18" l="1"/>
  <c r="X138" i="18" s="1"/>
  <c r="S139" i="18"/>
  <c r="X137" i="18"/>
  <c r="W137" i="18"/>
  <c r="G42" i="20"/>
  <c r="J43" i="20"/>
  <c r="K43" i="20"/>
  <c r="I43" i="20"/>
  <c r="F37" i="15"/>
  <c r="V139" i="18" l="1"/>
  <c r="X139" i="18" s="1"/>
  <c r="S140" i="18"/>
  <c r="W138" i="18"/>
  <c r="G41" i="20"/>
  <c r="I42" i="20"/>
  <c r="K42" i="20"/>
  <c r="J42" i="20"/>
  <c r="F36" i="15"/>
  <c r="W139" i="18" l="1"/>
  <c r="S141" i="18"/>
  <c r="V140" i="18"/>
  <c r="G40" i="20"/>
  <c r="K41" i="20"/>
  <c r="J41" i="20"/>
  <c r="I41" i="20"/>
  <c r="F35" i="15"/>
  <c r="V141" i="18" l="1"/>
  <c r="X141" i="18" s="1"/>
  <c r="S142" i="18"/>
  <c r="W140" i="18"/>
  <c r="X140" i="18"/>
  <c r="W141" i="18"/>
  <c r="G39" i="20"/>
  <c r="I40" i="20"/>
  <c r="J40" i="20"/>
  <c r="K40" i="20"/>
  <c r="F34" i="15"/>
  <c r="V142" i="18" l="1"/>
  <c r="W142" i="18" s="1"/>
  <c r="S143" i="18"/>
  <c r="X142" i="18"/>
  <c r="G38" i="20"/>
  <c r="J39" i="20"/>
  <c r="K39" i="20"/>
  <c r="I39" i="20"/>
  <c r="F33" i="15"/>
  <c r="V143" i="18" l="1"/>
  <c r="S144" i="18"/>
  <c r="V144" i="18" s="1"/>
  <c r="W143" i="18"/>
  <c r="X143" i="18"/>
  <c r="G37" i="20"/>
  <c r="I38" i="20"/>
  <c r="K38" i="20"/>
  <c r="J38" i="20"/>
  <c r="F32" i="15"/>
  <c r="W144" i="18" l="1"/>
  <c r="X144" i="18"/>
  <c r="G36" i="20"/>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<sst xmlns="http://schemas.openxmlformats.org/spreadsheetml/2006/main" count="14523" uniqueCount="5839">
  <si>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</si>
  <si>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</si>
  <si>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</si>
  <si>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</si>
  <si>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</si>
  <si>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</si>
  <si>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</si>
  <si>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</si>
  <si>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</si>
  <si>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</si>
  <si>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</si>
  <si>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</si>
  <si>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</si>
  <si>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</si>
  <si>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</si>
  <si>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</si>
  <si>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</si>
  <si>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</si>
  <si>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</si>
  <si>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</si>
  <si>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</si>
  <si>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</si>
  <si>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</si>
  <si>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</si>
  <si>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</si>
  <si>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</si>
  <si>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</si>
  <si>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</si>
  <si>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</si>
  <si>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</si>
  <si>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</si>
  <si>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</si>
  <si>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</si>
  <si>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</si>
  <si>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</si>
  <si>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</si>
  <si>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</si>
  <si>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</si>
  <si>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</si>
  <si>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</si>
  <si>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</si>
  <si>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</si>
  <si>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</si>
  <si>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</si>
  <si>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</si>
  <si>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</si>
  <si>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</si>
  <si>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</si>
  <si>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</si>
  <si>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</si>
  <si>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</si>
  <si>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</si>
  <si>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</si>
  <si>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</si>
  <si>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</si>
  <si>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</si>
  <si>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</si>
  <si>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</si>
  <si>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</si>
  <si>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</si>
  <si>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</si>
  <si>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</si>
  <si>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</si>
  <si>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</si>
  <si>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</si>
  <si>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</si>
  <si>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</si>
  <si>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</si>
  <si>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</si>
  <si>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</si>
  <si>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</si>
  <si>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</si>
  <si>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</si>
  <si>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</si>
  <si>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</si>
  <si>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</si>
  <si>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</si>
  <si>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</si>
  <si>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</si>
  <si>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</si>
  <si>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</si>
  <si>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</si>
  <si>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</si>
  <si>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</si>
  <si>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</si>
  <si>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</si>
  <si>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</si>
  <si>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</si>
  <si>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</si>
  <si>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</si>
  <si>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</si>
  <si>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</si>
  <si>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</si>
  <si>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</si>
  <si>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</si>
  <si>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</si>
  <si>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</si>
  <si>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</si>
  <si>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</si>
  <si>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</si>
  <si>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</si>
  <si>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</si>
  <si>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</si>
  <si>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</si>
  <si>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</si>
  <si>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</si>
  <si>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</si>
  <si>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</si>
  <si>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</si>
  <si>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</si>
  <si>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</si>
  <si>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</si>
  <si>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</si>
  <si>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</si>
  <si>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</si>
  <si>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</si>
  <si>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</si>
  <si>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</si>
  <si>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</si>
  <si>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</si>
  <si>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</si>
  <si>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</si>
  <si>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</si>
  <si>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</si>
  <si>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</si>
  <si>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</si>
  <si>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</si>
  <si>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</si>
  <si>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</si>
  <si>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</si>
  <si>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</si>
  <si>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</si>
  <si>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</si>
  <si>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</si>
  <si>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</si>
  <si>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</si>
  <si>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</si>
  <si>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</si>
  <si>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</si>
  <si>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</si>
  <si>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</si>
  <si>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</si>
  <si>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</si>
  <si>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</si>
  <si>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</si>
  <si>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</si>
  <si>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</si>
  <si>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</si>
  <si>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</si>
  <si>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</si>
  <si>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</si>
  <si>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</si>
  <si>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</si>
  <si>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</si>
  <si>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</si>
  <si>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</si>
  <si>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</si>
  <si>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</si>
  <si>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</si>
  <si>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</si>
  <si>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</si>
  <si>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</si>
  <si>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</si>
  <si>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</si>
  <si>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</si>
  <si>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</si>
  <si>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</si>
  <si>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</si>
  <si>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</si>
  <si>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</si>
  <si>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</si>
  <si>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</si>
  <si>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</si>
  <si>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</si>
  <si>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</si>
  <si>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</si>
  <si>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</si>
  <si>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</si>
  <si>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</si>
  <si>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</si>
  <si>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</si>
  <si>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</si>
  <si>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</si>
  <si>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</si>
  <si>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</si>
  <si>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</si>
  <si>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</si>
  <si>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</si>
  <si>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</si>
  <si>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</si>
  <si>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</si>
  <si>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</si>
  <si>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</si>
  <si>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</si>
  <si>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</si>
  <si>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</si>
  <si>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</si>
  <si>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</si>
  <si>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</si>
  <si>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</si>
  <si>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</si>
  <si>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</si>
  <si>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</si>
  <si>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</si>
  <si>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</si>
  <si>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</si>
  <si>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</si>
  <si>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</si>
  <si>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</si>
  <si>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</si>
  <si>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</si>
  <si>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</si>
  <si>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</si>
  <si>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</si>
  <si>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</si>
  <si>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</si>
  <si>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</si>
  <si>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</si>
  <si>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</si>
  <si>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</si>
  <si>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</si>
  <si>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</si>
  <si>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</si>
  <si>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</si>
  <si>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</si>
  <si>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</si>
  <si>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</si>
  <si>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</si>
  <si>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</si>
  <si>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</si>
  <si>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</si>
  <si>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</si>
  <si>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</si>
  <si>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</si>
  <si>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</si>
  <si>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</si>
  <si>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</si>
  <si>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</si>
  <si>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</si>
  <si>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</si>
  <si>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</si>
  <si>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</si>
  <si>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</si>
  <si>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</si>
  <si>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</si>
  <si>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</si>
  <si>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</si>
  <si>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</si>
  <si>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</si>
  <si>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</si>
  <si>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</si>
  <si>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</si>
  <si>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</si>
  <si>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</si>
  <si>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</si>
  <si>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</si>
  <si>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</si>
  <si>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</si>
  <si>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</si>
  <si>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</si>
  <si>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</si>
  <si>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</si>
  <si>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</si>
  <si>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</si>
  <si>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</si>
  <si>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</si>
  <si>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</si>
  <si>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</si>
  <si>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</si>
  <si>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</si>
  <si>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</si>
  <si>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</si>
  <si>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</si>
  <si>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</si>
  <si>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</si>
  <si>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</si>
  <si>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</si>
  <si>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</si>
  <si>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</si>
  <si>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</si>
  <si>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</si>
  <si>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</si>
  <si>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</si>
  <si>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</si>
  <si>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</si>
  <si>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</si>
  <si>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</si>
  <si>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</si>
  <si>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</si>
  <si>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</si>
  <si>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</si>
  <si>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</si>
  <si>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</si>
  <si>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</si>
  <si>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</si>
  <si>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</si>
  <si>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</si>
  <si>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</si>
  <si>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</si>
  <si>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</si>
  <si>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</si>
  <si>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</si>
  <si>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</si>
  <si>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</si>
  <si>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</si>
  <si>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</si>
  <si>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</si>
  <si>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</si>
  <si>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</si>
  <si>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</si>
  <si>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</si>
  <si>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</si>
  <si>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</si>
  <si>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</si>
  <si>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</si>
  <si>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</si>
  <si>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</si>
  <si>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</si>
  <si>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</si>
  <si>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</si>
  <si>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</si>
  <si>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</si>
  <si>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</si>
  <si>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</si>
  <si>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</si>
  <si>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</si>
  <si>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</si>
  <si>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</si>
  <si>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</si>
  <si>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</si>
  <si>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</si>
  <si>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</si>
  <si>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</si>
  <si>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</si>
  <si>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</si>
  <si>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</si>
  <si>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</si>
  <si>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</si>
  <si>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</si>
  <si>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</si>
  <si>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</si>
  <si>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</si>
  <si>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</si>
  <si>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</si>
  <si>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</si>
  <si>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</si>
  <si>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</si>
  <si>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</si>
  <si>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</si>
  <si>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</si>
  <si>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</si>
  <si>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</si>
  <si>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</si>
  <si>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</si>
  <si>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</si>
  <si>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</si>
  <si>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</si>
  <si>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</si>
  <si>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</si>
  <si>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</si>
  <si>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</si>
  <si>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</si>
  <si>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</si>
  <si>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</si>
  <si>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</si>
  <si>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</si>
  <si>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</si>
  <si>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</si>
  <si>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</si>
  <si>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</si>
  <si>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</si>
  <si>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</si>
  <si>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</si>
  <si>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</si>
  <si>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</si>
  <si>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</si>
  <si>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</si>
  <si>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</si>
  <si>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</si>
  <si>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</si>
  <si>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</si>
  <si>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</si>
  <si>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</si>
  <si>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</si>
  <si>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</si>
  <si>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</si>
  <si>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</si>
  <si>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</si>
  <si>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</si>
  <si>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</si>
  <si>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</si>
  <si>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</si>
  <si>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</si>
  <si>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</si>
  <si>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</si>
  <si>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</si>
  <si>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</si>
  <si>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</si>
  <si>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</si>
  <si>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</si>
  <si>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</si>
  <si>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</si>
  <si>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</si>
  <si>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</si>
  <si>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</si>
  <si>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</si>
  <si>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</si>
  <si>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</si>
  <si>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</si>
  <si>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</si>
  <si>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</si>
  <si>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</si>
  <si>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</si>
  <si>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</si>
  <si>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</si>
  <si>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</si>
  <si>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</si>
  <si>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</si>
  <si>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</si>
  <si>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</si>
  <si>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</si>
  <si>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</si>
  <si>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</si>
  <si>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</si>
  <si>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</si>
  <si>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</si>
  <si>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</si>
  <si>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</si>
  <si>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</si>
  <si>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</si>
  <si>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</si>
  <si>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</si>
  <si>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</si>
  <si>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</si>
  <si>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</si>
  <si>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</si>
  <si>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</si>
  <si>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</si>
  <si>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</si>
  <si>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</si>
  <si>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</si>
  <si>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</si>
  <si>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</si>
  <si>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</si>
  <si>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</si>
  <si>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</si>
  <si>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</si>
  <si>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</si>
  <si>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</si>
  <si>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</si>
  <si>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</si>
  <si>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</si>
  <si>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</si>
  <si>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</si>
  <si>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</si>
  <si>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</si>
  <si>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</si>
  <si>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</si>
  <si>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</si>
  <si>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</si>
  <si>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</si>
  <si>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</si>
  <si>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</si>
  <si>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</si>
  <si>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</si>
  <si>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</si>
  <si>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</si>
  <si>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</si>
  <si>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</si>
  <si>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</si>
  <si>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</si>
  <si>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</si>
  <si>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</si>
  <si>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</si>
  <si>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</si>
  <si>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</si>
  <si>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</si>
  <si>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</si>
  <si>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</si>
  <si>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</si>
  <si>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</si>
  <si>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</si>
  <si>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</si>
  <si>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</si>
  <si>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</si>
  <si>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</si>
  <si>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</si>
  <si>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</si>
  <si>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</si>
  <si>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</si>
  <si>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</si>
  <si>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</si>
  <si>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</si>
  <si>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</si>
  <si>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</si>
  <si>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</si>
  <si>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</si>
  <si>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</si>
  <si>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</si>
  <si>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</si>
  <si>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</si>
  <si>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</si>
  <si>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</si>
  <si>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</si>
  <si>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</si>
  <si>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</si>
  <si>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</si>
  <si>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</si>
  <si>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</si>
  <si>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</si>
  <si>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</si>
  <si>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</si>
  <si>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</si>
  <si>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</si>
  <si>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</si>
  <si>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</si>
  <si>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</si>
  <si>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</si>
  <si>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</si>
  <si>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</si>
  <si>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</si>
  <si>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</si>
  <si>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</si>
  <si>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</si>
  <si>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</si>
  <si>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</si>
  <si>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</si>
  <si>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</si>
  <si>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</si>
  <si>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</si>
  <si>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</si>
  <si>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</si>
  <si>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</si>
  <si>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</si>
  <si>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</si>
  <si>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</si>
  <si>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</si>
  <si>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</si>
  <si>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</si>
  <si>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</si>
  <si>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</si>
  <si>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</si>
  <si>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</si>
  <si>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</si>
  <si>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</si>
  <si>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</si>
  <si>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</si>
  <si>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</si>
  <si>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</si>
  <si>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</si>
  <si>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</si>
  <si>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</si>
  <si>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</si>
  <si>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</si>
  <si>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</si>
  <si>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</si>
  <si>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</si>
  <si>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</si>
  <si>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</si>
  <si>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</si>
  <si>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</si>
  <si>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</si>
  <si>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</si>
  <si>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</si>
  <si>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</si>
  <si>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</si>
  <si>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</si>
  <si>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</si>
  <si>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</si>
  <si>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</si>
  <si>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</si>
  <si>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</si>
  <si>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</si>
  <si>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</si>
  <si>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</si>
  <si>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</si>
  <si>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</si>
  <si>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</si>
  <si>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</si>
  <si>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</si>
  <si>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</si>
  <si>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</si>
  <si>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</si>
  <si>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</si>
  <si>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</si>
  <si>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</si>
  <si>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</si>
  <si>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</si>
  <si>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</si>
  <si>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</si>
  <si>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</si>
  <si>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</si>
  <si>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</si>
  <si>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</si>
  <si>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</si>
  <si>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</si>
  <si>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</si>
  <si>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</si>
  <si>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</si>
  <si>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</si>
  <si>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</si>
  <si>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</si>
  <si>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</si>
  <si>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</si>
  <si>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</si>
  <si>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</si>
  <si>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</si>
  <si>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</si>
  <si>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</si>
  <si>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</si>
  <si>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</si>
  <si>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</si>
  <si>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</si>
  <si>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</si>
  <si>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</si>
  <si>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</si>
  <si>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</si>
  <si>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</si>
  <si>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</si>
  <si>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</si>
  <si>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</si>
  <si>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</si>
  <si>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</si>
  <si>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</si>
  <si>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</si>
  <si>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</si>
  <si>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</si>
  <si>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</si>
  <si>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</si>
  <si>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</si>
  <si>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</si>
  <si>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</si>
  <si>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</si>
  <si>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</si>
  <si>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</si>
  <si>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</si>
  <si>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</si>
  <si>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</si>
  <si>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</si>
  <si>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</si>
  <si>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</si>
  <si>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</si>
  <si>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</si>
  <si>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</si>
  <si>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</si>
  <si>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</si>
  <si>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</si>
  <si>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</si>
  <si>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</si>
  <si>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</si>
  <si>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</si>
  <si>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</si>
  <si>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</si>
  <si>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</si>
  <si>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</si>
  <si>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</si>
  <si>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</si>
  <si>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</si>
  <si>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</si>
  <si>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</si>
  <si>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</si>
  <si>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</si>
  <si>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</si>
  <si>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</si>
  <si>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</si>
  <si>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</si>
  <si>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</si>
  <si>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</si>
  <si>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</si>
  <si>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</si>
  <si>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</si>
  <si>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</si>
  <si>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</si>
  <si>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</si>
  <si>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</si>
  <si>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</si>
  <si>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</si>
  <si>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</si>
  <si>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</si>
  <si>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</si>
  <si>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</si>
  <si>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</si>
  <si>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</si>
  <si>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</si>
  <si>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</si>
  <si>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</si>
  <si>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</si>
  <si>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</si>
  <si>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</si>
  <si>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</si>
  <si>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</si>
  <si>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</si>
  <si>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</si>
  <si>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</si>
  <si>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</si>
  <si>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</si>
  <si>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</si>
  <si>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</si>
  <si>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</si>
  <si>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</si>
  <si>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</si>
  <si>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</si>
  <si>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</si>
  <si>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</si>
  <si>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</si>
  <si>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</si>
  <si>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</si>
  <si>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</si>
  <si>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</si>
  <si>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</si>
  <si>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</si>
  <si>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</si>
  <si>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</si>
  <si>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</si>
  <si>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</si>
  <si>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</si>
  <si>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</si>
  <si>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</si>
  <si>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</si>
  <si>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</si>
  <si>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</si>
  <si>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</si>
  <si>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</si>
  <si>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</si>
  <si>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</si>
  <si>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</si>
  <si>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</si>
  <si>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</si>
  <si>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</si>
  <si>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</si>
  <si>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</si>
  <si>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</si>
  <si>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</si>
  <si>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</si>
  <si>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</si>
  <si>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</si>
  <si>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</si>
  <si>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</si>
  <si>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</si>
  <si>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</si>
  <si>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</si>
  <si>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</si>
  <si>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</si>
  <si>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</si>
  <si>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</si>
  <si>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</si>
  <si>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</si>
  <si>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</si>
  <si>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</si>
  <si>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</si>
  <si>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</si>
  <si>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</si>
  <si>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</si>
  <si>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</si>
  <si>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</si>
  <si>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</si>
  <si>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</si>
  <si>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</si>
  <si>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</si>
  <si>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</si>
  <si>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</si>
  <si>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</si>
  <si>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</si>
  <si>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</si>
  <si>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</si>
  <si>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</si>
  <si>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</si>
  <si>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</si>
  <si>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</si>
  <si>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</si>
  <si>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</si>
  <si>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</si>
  <si>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</si>
  <si>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</si>
  <si>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</si>
  <si>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</si>
  <si>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</si>
  <si>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</si>
  <si>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</si>
  <si>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</si>
  <si>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</si>
  <si>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</si>
  <si>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</si>
  <si>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</si>
  <si>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</si>
  <si>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</si>
  <si>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</si>
  <si>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</si>
  <si>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</si>
  <si>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</si>
  <si>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</si>
  <si>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</si>
  <si>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</si>
  <si>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</si>
  <si>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</si>
  <si>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</si>
  <si>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</si>
  <si>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</si>
  <si>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</si>
  <si>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</si>
  <si>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</si>
  <si>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</si>
  <si>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</si>
  <si>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</si>
  <si>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</si>
  <si>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</si>
  <si>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</si>
  <si>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</si>
  <si>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</si>
  <si>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</si>
  <si>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</si>
  <si>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</si>
  <si>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</si>
  <si>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</si>
  <si>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</si>
  <si>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</si>
  <si>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</si>
  <si>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</si>
  <si>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</si>
  <si>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</si>
  <si>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</si>
  <si>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</si>
  <si>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</si>
  <si>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</si>
  <si>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</si>
  <si>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</si>
  <si>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</si>
  <si>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</si>
  <si>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</si>
  <si>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</si>
  <si>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</si>
  <si>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</si>
  <si>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</si>
  <si>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</si>
  <si>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</si>
  <si>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</si>
  <si>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</si>
  <si>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</si>
  <si>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</si>
  <si>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</si>
  <si>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</si>
  <si>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</si>
  <si>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</si>
  <si>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</si>
  <si>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</si>
  <si>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</si>
  <si>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</si>
  <si>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</si>
  <si>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</si>
  <si>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</si>
  <si>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</si>
  <si>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</si>
  <si>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</si>
  <si>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</si>
  <si>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</si>
  <si>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</si>
  <si>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</si>
  <si>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</si>
  <si>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</si>
  <si>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</si>
  <si>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</si>
  <si>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</si>
  <si>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</si>
  <si>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</si>
  <si>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</si>
  <si>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</si>
  <si>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</si>
  <si>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</si>
  <si>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</si>
  <si>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</si>
  <si>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</si>
  <si>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</si>
  <si>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</si>
  <si>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</si>
  <si>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</si>
  <si>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</si>
  <si>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</si>
  <si>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</si>
  <si>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</si>
  <si>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</si>
  <si>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</si>
  <si>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</si>
  <si>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</si>
  <si>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</si>
  <si>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</si>
  <si>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</si>
  <si>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</si>
  <si>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</si>
  <si>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</si>
  <si>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</si>
  <si>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</si>
  <si>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</si>
  <si>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</si>
  <si>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</si>
  <si>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</si>
  <si>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</si>
  <si>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</si>
  <si>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</si>
  <si>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</si>
  <si>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</si>
  <si>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</si>
  <si>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</si>
  <si>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</si>
  <si>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</si>
  <si>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</si>
  <si>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</si>
  <si>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</si>
  <si>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</si>
  <si>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</si>
  <si>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</si>
  <si>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</si>
  <si>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</si>
  <si>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</si>
  <si>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</si>
  <si>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</si>
  <si>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</si>
  <si>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</si>
  <si>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</si>
  <si>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</si>
  <si>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</si>
  <si>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</si>
  <si>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</si>
  <si>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</si>
  <si>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</si>
  <si>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</si>
  <si>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</si>
  <si>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</si>
  <si>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</si>
  <si>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</si>
  <si>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</si>
  <si>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</si>
  <si>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</si>
  <si>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</si>
  <si>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</si>
  <si>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</si>
  <si>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</si>
  <si>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</si>
  <si>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</si>
  <si>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</si>
  <si>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</si>
  <si>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</si>
  <si>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</si>
  <si>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</si>
  <si>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</si>
  <si>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</si>
  <si>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</si>
  <si>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</si>
  <si>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</si>
  <si>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</si>
  <si>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</si>
  <si>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</si>
  <si>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</si>
  <si>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</si>
  <si>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</si>
  <si>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</si>
  <si>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</si>
  <si>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</si>
  <si>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</si>
  <si>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</si>
  <si>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</si>
  <si>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</si>
  <si>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</si>
  <si>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</si>
  <si>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</si>
  <si>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</si>
  <si>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</si>
  <si>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</si>
  <si>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</si>
  <si>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</si>
  <si>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</si>
  <si>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</si>
  <si>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</si>
  <si>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</si>
  <si>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</si>
  <si>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</si>
  <si>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</si>
  <si>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</si>
  <si>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</si>
  <si>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</si>
  <si>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</si>
  <si>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</si>
  <si>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</si>
  <si>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</si>
  <si>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</si>
  <si>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</si>
  <si>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</si>
  <si>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</si>
  <si>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</si>
  <si>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</si>
  <si>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</si>
  <si>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</si>
  <si>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</si>
  <si>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</si>
  <si>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</si>
  <si>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</si>
  <si>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</si>
  <si>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</si>
  <si>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</si>
  <si>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</si>
  <si>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</si>
  <si>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</si>
  <si>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</si>
  <si>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</si>
  <si>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</si>
  <si>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</si>
  <si>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</si>
  <si>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</si>
  <si>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</si>
  <si>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</si>
  <si>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</si>
  <si>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</si>
  <si>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</si>
  <si>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</si>
  <si>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</si>
  <si>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</si>
  <si>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</si>
  <si>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</si>
  <si>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</si>
  <si>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</si>
  <si>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</si>
  <si>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</si>
  <si>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</si>
  <si>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</si>
  <si>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</si>
  <si>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</si>
  <si>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</si>
  <si>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</si>
  <si>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</si>
  <si>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</si>
  <si>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</si>
  <si>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</si>
  <si>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</si>
  <si>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</si>
  <si>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</si>
  <si>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</si>
  <si>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</si>
  <si>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</si>
  <si>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</si>
  <si>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</si>
  <si>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</si>
  <si>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</si>
  <si>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</si>
  <si>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</si>
  <si>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</si>
  <si>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</si>
  <si>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</si>
  <si>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</si>
  <si>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</si>
  <si>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</si>
  <si>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</si>
  <si>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</si>
  <si>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</si>
  <si>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</si>
  <si>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</si>
  <si>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</si>
  <si>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</si>
  <si>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</si>
  <si>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</si>
  <si>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</si>
  <si>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</si>
  <si>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</si>
  <si>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</si>
  <si>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</si>
  <si>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</si>
  <si>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</si>
  <si>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</si>
  <si>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</si>
  <si>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</si>
  <si>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</si>
  <si>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</si>
  <si>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</si>
  <si>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</si>
  <si>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</si>
  <si>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</si>
  <si>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</si>
  <si>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</si>
  <si>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</si>
  <si>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</si>
  <si>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</si>
  <si>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</si>
  <si>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</si>
  <si>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</si>
  <si>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</si>
  <si>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</si>
  <si>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</si>
  <si>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</si>
  <si>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</si>
  <si>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</si>
  <si>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</si>
  <si>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</si>
  <si>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</si>
  <si>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</si>
  <si>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</si>
  <si>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</si>
  <si>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</si>
  <si>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</si>
  <si>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</si>
  <si>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</si>
  <si>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</si>
  <si>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</si>
  <si>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</si>
  <si>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</si>
  <si>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</si>
  <si>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</si>
  <si>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</si>
  <si>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</si>
  <si>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</si>
  <si>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</si>
  <si>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</si>
  <si>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</si>
  <si>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</si>
  <si>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</si>
  <si>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</si>
  <si>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</si>
  <si>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</si>
  <si>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</si>
  <si>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</si>
  <si>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</si>
  <si>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</si>
  <si>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</si>
  <si>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</si>
  <si>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</si>
  <si>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</si>
  <si>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</si>
  <si>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</si>
  <si>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</si>
  <si>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</si>
  <si>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</si>
  <si>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</si>
  <si>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</si>
  <si>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</si>
  <si>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</si>
  <si>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</si>
  <si>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</si>
  <si>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</si>
  <si>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</si>
  <si>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</si>
  <si>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</si>
  <si>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</si>
  <si>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</si>
  <si>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</si>
  <si>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</si>
  <si>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</si>
  <si>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</si>
  <si>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</si>
  <si>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</si>
  <si>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</si>
  <si>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</si>
  <si>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</si>
  <si>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</si>
  <si>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</si>
  <si>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</si>
  <si>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</si>
  <si>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</si>
  <si>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</si>
  <si>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</si>
  <si>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</si>
  <si>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</si>
  <si>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</si>
  <si>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</si>
  <si>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</si>
  <si>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</si>
  <si>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</si>
  <si>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</si>
  <si>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</si>
  <si>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</si>
  <si>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</si>
  <si>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</si>
  <si>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</si>
  <si>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</si>
  <si>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</si>
  <si>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</si>
  <si>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</si>
  <si>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</si>
  <si>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</si>
  <si>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</si>
  <si>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</si>
  <si>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</si>
  <si>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</si>
  <si>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</si>
  <si>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</si>
  <si>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</si>
  <si>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</si>
  <si>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</si>
  <si>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</si>
  <si>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</si>
  <si>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</si>
  <si>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</si>
  <si>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</si>
  <si>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</si>
  <si>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</si>
  <si>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</si>
  <si>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</si>
  <si>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</si>
  <si>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</si>
  <si>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</si>
  <si>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</si>
  <si>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</si>
  <si>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</si>
  <si>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</si>
  <si>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</si>
  <si>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</si>
  <si>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</si>
  <si>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</si>
  <si>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</si>
  <si>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</si>
  <si>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</si>
  <si>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</si>
  <si>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</si>
  <si>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</si>
  <si>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</si>
  <si>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</si>
  <si>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</si>
  <si>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</si>
  <si>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</si>
  <si>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</si>
  <si>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</si>
  <si>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</si>
  <si>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</si>
  <si>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</si>
  <si>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</si>
  <si>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</si>
  <si>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</si>
  <si>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</si>
  <si>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</si>
  <si>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</si>
  <si>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</si>
  <si>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</si>
  <si>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</si>
  <si>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</si>
  <si>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</si>
  <si>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</si>
  <si>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</si>
  <si>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</si>
  <si>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</si>
  <si>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</si>
  <si>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</si>
  <si>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</si>
  <si>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</si>
  <si>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</si>
  <si>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</si>
  <si>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</si>
  <si>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</si>
  <si>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</si>
  <si>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</si>
  <si>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</si>
  <si>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</si>
  <si>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</si>
  <si>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</si>
  <si>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</si>
  <si>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</si>
  <si>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</si>
  <si>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</si>
  <si>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</si>
  <si>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</si>
  <si>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</si>
  <si>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</si>
  <si>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</si>
  <si>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</si>
  <si>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</si>
  <si>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</si>
  <si>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</si>
  <si>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</si>
  <si>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</si>
  <si>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</si>
  <si>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</si>
  <si>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</si>
  <si>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</si>
  <si>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</si>
  <si>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</si>
  <si>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</si>
  <si>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</si>
  <si>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</si>
  <si>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</si>
  <si>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</si>
  <si>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</si>
  <si>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</si>
  <si>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</si>
  <si>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</si>
  <si>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</si>
  <si>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</si>
  <si>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</si>
  <si>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</si>
  <si>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</si>
  <si>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</si>
  <si>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</si>
  <si>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</si>
  <si>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</si>
  <si>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</si>
  <si>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</si>
  <si>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</si>
  <si>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</si>
  <si>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</si>
  <si>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</si>
  <si>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</si>
  <si>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</si>
  <si>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</si>
  <si>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</si>
  <si>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</si>
  <si>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</si>
  <si>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</si>
  <si>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</si>
  <si>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</si>
  <si>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</si>
  <si>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</si>
  <si>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</si>
  <si>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</si>
  <si>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</si>
  <si>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</si>
  <si>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</si>
  <si>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</si>
  <si>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</si>
  <si>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</si>
  <si>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</si>
  <si>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</si>
  <si>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</si>
  <si>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</si>
  <si>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</si>
  <si>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</si>
  <si>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</si>
  <si>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</si>
  <si>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</si>
  <si>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</si>
  <si>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</si>
  <si>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</si>
  <si>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</si>
  <si>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</si>
  <si>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</si>
  <si>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</si>
  <si>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</si>
  <si>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</si>
  <si>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</si>
  <si>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</si>
  <si>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</si>
  <si>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</si>
  <si>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</si>
  <si>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</si>
  <si>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</si>
  <si>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</si>
  <si>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</si>
  <si>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</si>
  <si>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</si>
  <si>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</si>
  <si>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</si>
  <si>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</si>
  <si>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</si>
  <si>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</si>
  <si>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</si>
  <si>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</si>
  <si>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</si>
  <si>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</si>
  <si>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</si>
  <si>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</si>
  <si>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</si>
  <si>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</si>
  <si>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</si>
  <si>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</si>
  <si>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</si>
  <si>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</si>
  <si>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</si>
  <si>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</si>
  <si>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</si>
  <si>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</si>
  <si>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</si>
  <si>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</si>
  <si>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</si>
  <si>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</si>
  <si>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</si>
  <si>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</si>
  <si>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</si>
  <si>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</si>
  <si>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</si>
  <si>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</si>
  <si>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</si>
  <si>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</si>
  <si>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</si>
  <si>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</si>
  <si>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</si>
  <si>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</si>
  <si>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</si>
  <si>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</si>
  <si>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</si>
  <si>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</si>
  <si>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</si>
  <si>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</si>
  <si>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</si>
  <si>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</si>
  <si>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</si>
  <si>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</si>
  <si>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</si>
  <si>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</si>
  <si>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</si>
  <si>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</si>
  <si>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</si>
  <si>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</si>
  <si>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</si>
  <si>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</si>
  <si>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</si>
  <si>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</si>
  <si>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</si>
  <si>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</si>
  <si>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</si>
  <si>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</si>
  <si>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</si>
  <si>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</si>
  <si>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</si>
  <si>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</si>
  <si>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</si>
  <si>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</si>
  <si>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</si>
  <si>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</si>
  <si>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</si>
  <si>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</si>
  <si>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</si>
  <si>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</si>
  <si>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</si>
  <si>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</si>
  <si>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</si>
  <si>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</si>
  <si>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</si>
  <si>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</si>
  <si>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</si>
  <si>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</si>
  <si>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</si>
  <si>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</si>
  <si>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</si>
  <si>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</si>
  <si>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</si>
  <si>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</si>
  <si>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</si>
  <si>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</si>
  <si>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</si>
  <si>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</si>
  <si>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</si>
  <si>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</si>
  <si>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</si>
  <si>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</si>
  <si>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</si>
  <si>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</si>
  <si>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</si>
  <si>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</si>
  <si>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</si>
  <si>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</si>
  <si>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</si>
  <si>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</si>
  <si>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</si>
  <si>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</si>
  <si>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</si>
  <si>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</si>
  <si>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</si>
  <si>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</si>
  <si>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</si>
  <si>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</si>
  <si>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</si>
  <si>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</si>
  <si>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</si>
  <si>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</si>
  <si>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</si>
  <si>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</si>
  <si>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</si>
  <si>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</si>
  <si>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</si>
  <si>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</si>
  <si>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</si>
  <si>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</si>
  <si>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</si>
  <si>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</si>
  <si>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</si>
  <si>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</si>
  <si>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</si>
  <si>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</si>
  <si>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</si>
  <si>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</si>
  <si>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</si>
  <si>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</si>
  <si>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</si>
  <si>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</si>
  <si>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</si>
  <si>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</si>
  <si>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</si>
  <si>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</si>
  <si>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</si>
  <si>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</si>
  <si>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</si>
  <si>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</si>
  <si>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</si>
  <si>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</si>
  <si>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</si>
  <si>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</si>
  <si>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</si>
  <si>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</si>
  <si>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</si>
  <si>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</si>
  <si>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</si>
  <si>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</si>
  <si>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</si>
  <si>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</si>
  <si>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</si>
  <si>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</si>
  <si>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</si>
  <si>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</si>
  <si>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</si>
  <si>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</si>
  <si>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</si>
  <si>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</si>
  <si>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</si>
  <si>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</si>
  <si>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</si>
  <si>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</si>
  <si>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</si>
  <si>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</si>
  <si>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</si>
  <si>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</si>
  <si>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</si>
  <si>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</si>
  <si>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</si>
  <si>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</si>
  <si>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</si>
  <si>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</si>
  <si>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</si>
  <si>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</si>
  <si>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</si>
  <si>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</si>
  <si>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</si>
  <si>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</si>
  <si>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</si>
  <si>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</si>
  <si>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</si>
  <si>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</si>
  <si>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</si>
  <si>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</si>
  <si>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</si>
  <si>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</si>
  <si>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</si>
  <si>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</si>
  <si>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</si>
  <si>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</si>
  <si>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</si>
  <si>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</si>
  <si>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</si>
  <si>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</si>
  <si>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</si>
  <si>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</si>
  <si>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</si>
  <si>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</si>
  <si>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</si>
  <si>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</si>
  <si>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</si>
  <si>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</si>
  <si>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</si>
  <si>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</si>
  <si>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</si>
  <si>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</si>
  <si>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</si>
  <si>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</si>
  <si>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</si>
  <si>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</si>
  <si>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</si>
  <si>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</si>
  <si>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</si>
  <si>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</si>
  <si>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</si>
  <si>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</si>
  <si>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</si>
  <si>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</si>
  <si>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</si>
  <si>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</si>
  <si>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</si>
  <si>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</si>
  <si>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</si>
  <si>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</si>
  <si>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</si>
  <si>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</si>
  <si>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</si>
  <si>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</si>
  <si>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</si>
  <si>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</si>
  <si>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</si>
  <si>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</si>
  <si>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</si>
  <si>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</si>
  <si>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</si>
  <si>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</si>
  <si>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</si>
  <si>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</si>
  <si>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</si>
  <si>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</si>
  <si>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</si>
  <si>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</si>
  <si>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</si>
  <si>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</si>
  <si>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</si>
  <si>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</si>
  <si>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</si>
  <si>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</si>
  <si>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</si>
  <si>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</si>
  <si>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</si>
  <si>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</si>
  <si>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</si>
  <si>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</si>
  <si>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</si>
  <si>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</si>
  <si>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</si>
  <si>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</si>
  <si>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</si>
  <si>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</si>
  <si>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</si>
  <si>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</si>
  <si>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</si>
  <si>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</si>
  <si>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</si>
  <si>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</si>
  <si>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</si>
  <si>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</si>
  <si>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</si>
  <si>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</si>
  <si>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</si>
  <si>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</si>
  <si>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</si>
  <si>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</si>
  <si>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</si>
  <si>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</si>
  <si>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</si>
  <si>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</si>
  <si>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</si>
  <si>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</si>
  <si>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</si>
  <si>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</si>
  <si>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</si>
  <si>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</si>
  <si>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</si>
  <si>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</si>
  <si>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</si>
  <si>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</si>
  <si>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</si>
  <si>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</si>
  <si>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</si>
  <si>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</si>
  <si>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</si>
  <si>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</si>
  <si>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</si>
  <si>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</si>
  <si>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</si>
  <si>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</si>
  <si>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</si>
  <si>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</si>
  <si>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</si>
  <si>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</si>
  <si>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</si>
  <si>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</si>
  <si>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</si>
  <si>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</si>
  <si>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</si>
  <si>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</si>
  <si>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</si>
  <si>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</si>
  <si>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</si>
  <si>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</si>
  <si>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</si>
  <si>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</si>
  <si>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</si>
  <si>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</si>
  <si>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</si>
  <si>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</si>
  <si>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</si>
  <si>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</si>
  <si>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</si>
  <si>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</si>
  <si>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</si>
  <si>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</si>
  <si>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</si>
  <si>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</si>
  <si>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</si>
  <si>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</si>
  <si>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</si>
  <si>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</si>
  <si>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</si>
  <si>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</si>
  <si>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</si>
  <si>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</si>
  <si>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</si>
  <si>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</si>
  <si>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</si>
  <si>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</si>
  <si>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</si>
  <si>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</si>
  <si>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</si>
  <si>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</si>
  <si>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</si>
  <si>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</si>
  <si>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</si>
  <si>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</si>
  <si>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</si>
  <si>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</si>
  <si>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</si>
  <si>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</si>
  <si>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</si>
  <si>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</si>
  <si>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</si>
  <si>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</si>
  <si>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</si>
  <si>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</si>
  <si>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</si>
  <si>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</si>
  <si>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</si>
  <si>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</si>
  <si>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</si>
  <si>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</si>
  <si>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</si>
  <si>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</si>
  <si>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</si>
  <si>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</si>
  <si>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</si>
  <si>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</si>
  <si>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</si>
  <si>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</si>
  <si>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</si>
  <si>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</si>
  <si>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</si>
  <si>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</si>
  <si>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</si>
  <si>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</si>
  <si>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</si>
  <si>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</si>
  <si>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</si>
  <si>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</si>
  <si>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</si>
  <si>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</si>
  <si>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</si>
  <si>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</si>
  <si>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</si>
  <si>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</si>
  <si>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</si>
  <si>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</si>
  <si>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</si>
  <si>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</si>
  <si>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</si>
  <si>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</si>
  <si>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</si>
  <si>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</si>
  <si>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</si>
  <si>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</si>
  <si>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</si>
  <si>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</si>
  <si>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</si>
  <si>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</si>
  <si>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</si>
  <si>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</si>
  <si>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</si>
  <si>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</si>
  <si>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</si>
  <si>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</si>
  <si>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</si>
  <si>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</si>
  <si>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</si>
  <si>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</si>
  <si>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</si>
  <si>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</si>
  <si>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</si>
  <si>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</si>
  <si>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</si>
  <si>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</si>
  <si>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</si>
  <si>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</si>
  <si>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</si>
  <si>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</si>
  <si>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</si>
  <si>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</si>
  <si>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</si>
  <si>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</si>
  <si>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</si>
  <si>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</si>
  <si>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</si>
  <si>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</si>
  <si>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</si>
  <si>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</si>
  <si>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</si>
  <si>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</si>
  <si>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</si>
  <si>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</si>
  <si>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</si>
  <si>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</si>
  <si>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</si>
  <si>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</si>
  <si>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</si>
  <si>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</si>
  <si>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</si>
  <si>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</si>
  <si>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</si>
  <si>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</si>
  <si>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</si>
  <si>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</si>
  <si>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</si>
  <si>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</si>
  <si>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</si>
  <si>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</si>
  <si>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</si>
  <si>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</si>
  <si>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</si>
  <si>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</si>
  <si>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</si>
  <si>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</si>
  <si>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</si>
  <si>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</si>
  <si>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</si>
  <si>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</si>
  <si>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</si>
  <si>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</si>
  <si>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</si>
  <si>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</si>
  <si>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</si>
  <si>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</si>
  <si>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</si>
  <si>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</si>
  <si>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</si>
  <si>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</si>
  <si>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</si>
  <si>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</si>
  <si>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</si>
  <si>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</si>
  <si>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</si>
  <si>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</si>
  <si>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</si>
  <si>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</si>
  <si>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</si>
  <si>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</si>
  <si>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</si>
  <si>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</si>
  <si>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</si>
  <si>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</si>
  <si>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</si>
  <si>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</si>
  <si>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</si>
  <si>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</si>
  <si>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</si>
  <si>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</si>
  <si>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</si>
  <si>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</si>
  <si>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</si>
  <si>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</si>
  <si>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</si>
  <si>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</si>
  <si>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</si>
  <si>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</si>
  <si>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</si>
  <si>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</si>
  <si>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</si>
  <si>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</si>
  <si>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</si>
  <si>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</si>
  <si>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</si>
  <si>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</si>
  <si>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</si>
  <si>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</si>
  <si>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</si>
  <si>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</si>
  <si>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</si>
  <si>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</si>
  <si>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</si>
  <si>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</si>
  <si>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</si>
  <si>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</si>
  <si>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</si>
  <si>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</si>
  <si>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</si>
  <si>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</si>
  <si>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</si>
  <si>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</si>
  <si>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</si>
  <si>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</si>
  <si>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</si>
  <si>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</si>
  <si>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</si>
  <si>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</si>
  <si>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</si>
  <si>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</si>
  <si>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</si>
  <si>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</si>
  <si>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</si>
  <si>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</si>
  <si>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</si>
  <si>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</si>
  <si>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</si>
  <si>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</si>
  <si>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</si>
  <si>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</si>
  <si>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</si>
  <si>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</si>
  <si>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</si>
  <si>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</si>
  <si>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</si>
  <si>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</si>
  <si>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</si>
  <si>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</si>
  <si>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</si>
  <si>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</si>
  <si>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</si>
  <si>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</si>
  <si>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</si>
  <si>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</si>
  <si>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</si>
  <si>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</si>
  <si>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</si>
  <si>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</si>
  <si>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</si>
  <si>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</si>
  <si>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</si>
  <si>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</si>
  <si>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</si>
  <si>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</si>
  <si>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</si>
  <si>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</si>
  <si>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</si>
  <si>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</si>
  <si>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</si>
  <si>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</si>
  <si>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</si>
  <si>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</si>
  <si>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</si>
  <si>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</si>
  <si>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</si>
  <si>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</si>
  <si>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</si>
  <si>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</si>
  <si>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</si>
  <si>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</si>
  <si>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</si>
  <si>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</si>
  <si>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</si>
  <si>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</si>
  <si>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</si>
  <si>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</si>
  <si>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</si>
  <si>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</si>
  <si>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</si>
  <si>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</si>
  <si>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</si>
  <si>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</si>
  <si>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</si>
  <si>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</si>
  <si>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</si>
  <si>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</si>
  <si>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</si>
  <si>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</si>
  <si>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</si>
  <si>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</si>
  <si>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</si>
  <si>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</si>
  <si>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</si>
  <si>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</si>
  <si>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</si>
  <si>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</si>
  <si>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</si>
  <si>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</si>
  <si>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</si>
  <si>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</si>
  <si>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</si>
  <si>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</si>
  <si>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</si>
  <si>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</si>
  <si>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</si>
  <si>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</si>
  <si>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</si>
  <si>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</si>
  <si>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</si>
  <si>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</si>
  <si>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</si>
  <si>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</si>
  <si>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</si>
  <si>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</si>
  <si>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</si>
  <si>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</si>
  <si>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</si>
  <si>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</si>
  <si>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</si>
  <si>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</si>
  <si>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</si>
  <si>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</si>
  <si>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</si>
  <si>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</si>
  <si>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</si>
  <si>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</si>
  <si>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</si>
  <si>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</si>
  <si>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</si>
  <si>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</si>
  <si>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</si>
  <si>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</si>
  <si>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</si>
  <si>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</si>
  <si>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</si>
  <si>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</si>
  <si>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</si>
  <si>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</si>
  <si>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</si>
  <si>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</si>
  <si>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</si>
  <si>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</si>
  <si>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</si>
  <si>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</si>
  <si>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</si>
  <si>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</si>
  <si>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</si>
  <si>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</si>
  <si>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</si>
  <si>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</si>
  <si>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</si>
  <si>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</si>
  <si>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</si>
  <si>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</si>
  <si>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</si>
  <si>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</si>
  <si>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</si>
  <si>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</si>
  <si>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</si>
  <si>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</si>
  <si>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</si>
  <si>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</si>
  <si>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</si>
  <si>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</si>
  <si>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</si>
  <si>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</si>
  <si>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</si>
  <si>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</si>
  <si>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</si>
  <si>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</si>
  <si>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</si>
  <si>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</si>
  <si>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</si>
  <si>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</si>
  <si>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</si>
  <si>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</si>
  <si>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</si>
  <si>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</si>
  <si>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</si>
  <si>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</si>
  <si>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</si>
  <si>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</si>
  <si>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</si>
  <si>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</si>
  <si>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</si>
  <si>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</si>
  <si>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</si>
  <si>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</si>
  <si>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</si>
  <si>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</si>
  <si>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</si>
  <si>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</si>
  <si>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</si>
  <si>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</si>
  <si>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</si>
  <si>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</si>
  <si>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</si>
  <si>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</si>
  <si>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</si>
  <si>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</si>
  <si>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</si>
  <si>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</si>
  <si>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</si>
  <si>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</si>
  <si>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</si>
  <si>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</si>
  <si>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</si>
  <si>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</si>
  <si>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</si>
  <si>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</si>
  <si>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</si>
  <si>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</si>
  <si>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</si>
  <si>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</si>
  <si>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</si>
  <si>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</si>
  <si>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</si>
  <si>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</si>
  <si>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</si>
  <si>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</si>
  <si>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</si>
  <si>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</si>
  <si>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</si>
  <si>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</si>
  <si>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</si>
  <si>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</si>
  <si>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</si>
  <si>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</si>
  <si>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</si>
  <si>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</si>
  <si>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</si>
  <si>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</si>
  <si>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</si>
  <si>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</si>
  <si>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</si>
  <si>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</si>
  <si>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</si>
  <si>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</si>
  <si>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</si>
  <si>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</si>
  <si>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</si>
  <si>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</si>
  <si>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</si>
  <si>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</si>
  <si>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</si>
  <si>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</si>
  <si>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</si>
  <si>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</si>
  <si>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</si>
  <si>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</si>
  <si>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</si>
  <si>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</si>
  <si>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</si>
  <si>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</si>
  <si>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</si>
  <si>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</si>
  <si>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</si>
  <si>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</si>
  <si>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</si>
  <si>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</si>
  <si>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</si>
  <si>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</si>
  <si>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</si>
  <si>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</si>
  <si>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</si>
  <si>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</si>
  <si>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</si>
  <si>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</si>
  <si>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</si>
  <si>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</si>
  <si>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</si>
  <si>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</si>
  <si>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</si>
  <si>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</si>
  <si>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</si>
  <si>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</si>
  <si>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</si>
  <si>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</si>
  <si>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</si>
  <si>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</si>
  <si>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</si>
  <si>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</si>
  <si>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</si>
  <si>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</si>
  <si>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</si>
  <si>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</si>
  <si>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</si>
  <si>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</si>
  <si>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</si>
  <si>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</si>
  <si>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</si>
  <si>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</si>
  <si>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</si>
  <si>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</si>
  <si>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</si>
  <si>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</si>
  <si>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</si>
  <si>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</si>
  <si>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</si>
  <si>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</si>
  <si>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</si>
  <si>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</si>
  <si>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</si>
  <si>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</si>
  <si>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</si>
  <si>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</si>
  <si>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</si>
  <si>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</si>
  <si>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</si>
  <si>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</si>
  <si>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</si>
  <si>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</si>
  <si>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</si>
  <si>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</si>
  <si>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</si>
  <si>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</si>
  <si>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</si>
  <si>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</si>
  <si>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</si>
  <si>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</si>
  <si>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</si>
  <si>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</si>
  <si>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</si>
  <si>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</si>
  <si>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</si>
  <si>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</si>
  <si>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</si>
  <si>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</si>
  <si>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</si>
  <si>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</si>
  <si>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</si>
  <si>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</si>
  <si>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</si>
  <si>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</si>
  <si>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</si>
  <si>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</si>
  <si>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</si>
  <si>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</si>
  <si>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</si>
  <si>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</si>
  <si>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</si>
  <si>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</si>
  <si>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</si>
  <si>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</si>
  <si>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</si>
  <si>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</si>
  <si>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</si>
  <si>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</si>
  <si>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</si>
  <si>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</si>
  <si>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</si>
  <si>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</si>
  <si>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</si>
  <si>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</si>
  <si>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</si>
  <si>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</si>
  <si>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</si>
  <si>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</si>
  <si>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</si>
  <si>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</si>
  <si>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</si>
  <si>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</si>
  <si>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</si>
  <si>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</si>
  <si>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</si>
  <si>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</si>
  <si>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</si>
  <si>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</si>
  <si>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</si>
  <si>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</si>
  <si>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</si>
  <si>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</si>
  <si>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</si>
  <si>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</si>
  <si>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</si>
  <si>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</si>
  <si>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</si>
  <si>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</si>
  <si>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</si>
  <si>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</si>
  <si>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</si>
  <si>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</si>
  <si>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</si>
  <si>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</si>
  <si>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</si>
  <si>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</si>
  <si>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</si>
  <si>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</si>
  <si>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</si>
  <si>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</si>
  <si>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</si>
  <si>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</si>
  <si>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</si>
  <si>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</si>
  <si>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</si>
  <si>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</si>
  <si>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</si>
  <si>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</si>
  <si>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</si>
  <si>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</si>
  <si>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</si>
  <si>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</si>
  <si>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</si>
  <si>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</si>
  <si>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</si>
  <si>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</si>
  <si>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</si>
  <si>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</si>
  <si>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</si>
  <si>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</si>
  <si>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</si>
  <si>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</si>
  <si>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</si>
  <si>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</si>
  <si>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</si>
  <si>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</si>
  <si>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</si>
  <si>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</si>
  <si>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</si>
  <si>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</si>
  <si>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</si>
  <si>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</si>
  <si>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</si>
  <si>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</si>
  <si>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</si>
  <si>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</si>
  <si>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</si>
  <si>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</si>
  <si>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</si>
  <si>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</si>
  <si>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</si>
  <si>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</si>
  <si>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</si>
  <si>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</si>
  <si>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</si>
  <si>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</si>
  <si>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</si>
  <si>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</si>
  <si>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</si>
  <si>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</si>
  <si>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</si>
  <si>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</si>
  <si>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</si>
  <si>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</si>
  <si>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</si>
  <si>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</si>
  <si>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</si>
  <si>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</si>
  <si>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</si>
  <si>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</si>
  <si>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</si>
  <si>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</si>
  <si>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</si>
  <si>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</si>
  <si>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</si>
  <si>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</si>
  <si>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</si>
  <si>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</si>
  <si>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</si>
  <si>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</si>
  <si>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</si>
  <si>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</si>
  <si>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</si>
  <si>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</si>
  <si>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</si>
  <si>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</si>
  <si>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</si>
  <si>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</si>
  <si>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</si>
  <si>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</si>
  <si>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</si>
  <si>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</si>
  <si>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</si>
  <si>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</si>
  <si>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</si>
  <si>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</si>
  <si>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</si>
  <si>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</si>
  <si>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</si>
  <si>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</si>
  <si>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</si>
  <si>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</si>
  <si>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</si>
  <si>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</si>
  <si>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</si>
  <si>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</si>
  <si>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</si>
  <si>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</si>
  <si>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</si>
  <si>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</si>
  <si>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</si>
  <si>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</si>
  <si>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</si>
  <si>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</si>
  <si>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</si>
  <si>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</si>
  <si>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</si>
  <si>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</si>
  <si>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</si>
  <si>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</si>
  <si>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</si>
  <si>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</si>
  <si>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</si>
  <si>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</si>
  <si>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</si>
  <si>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</si>
  <si>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</si>
  <si>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</si>
  <si>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</si>
  <si>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</si>
  <si>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</si>
  <si>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</si>
  <si>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</si>
  <si>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</si>
  <si>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</si>
  <si>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</si>
  <si>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</si>
  <si>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</si>
  <si>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</si>
  <si>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</si>
  <si>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</si>
  <si>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</si>
  <si>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</si>
  <si>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</si>
  <si>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</si>
  <si>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</si>
  <si>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</si>
  <si>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</si>
  <si>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</si>
  <si>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</si>
  <si>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</si>
  <si>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</si>
  <si>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</si>
  <si>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</si>
  <si>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</si>
  <si>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</si>
  <si>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</si>
  <si>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</si>
  <si>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</si>
  <si>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</si>
  <si>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</si>
  <si>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</si>
  <si>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</si>
  <si>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</si>
  <si>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</si>
  <si>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</si>
  <si>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</si>
  <si>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</si>
  <si>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</si>
  <si>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</si>
  <si>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</si>
  <si>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</si>
  <si>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</si>
  <si>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</si>
  <si>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</si>
  <si>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</si>
  <si>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</si>
  <si>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</si>
  <si>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</si>
  <si>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</si>
  <si>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</si>
  <si>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</si>
  <si>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</si>
  <si>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</si>
  <si>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</si>
  <si>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</si>
  <si>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</si>
  <si>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</si>
  <si>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</si>
  <si>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</si>
  <si>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</si>
  <si>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</si>
  <si>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</si>
  <si>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</si>
  <si>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</si>
  <si>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</si>
  <si>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</si>
  <si>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</si>
  <si>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</si>
  <si>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</si>
  <si>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</si>
  <si>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</si>
  <si>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</si>
  <si>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</si>
  <si>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</si>
  <si>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</si>
  <si>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</si>
  <si>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</si>
  <si>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</si>
  <si>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</si>
  <si>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</si>
  <si>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</si>
  <si>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</si>
  <si>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</si>
  <si>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</si>
  <si>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</si>
  <si>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</si>
  <si>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</si>
  <si>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</si>
  <si>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</si>
  <si>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</si>
  <si>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</si>
  <si>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</si>
  <si>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</si>
  <si>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</si>
  <si>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</si>
  <si>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</si>
  <si>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</si>
  <si>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</si>
  <si>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</si>
  <si>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</si>
  <si>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</si>
  <si>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</si>
  <si>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</si>
  <si>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</si>
  <si>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</si>
  <si>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</si>
  <si>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</si>
  <si>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</si>
  <si>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</si>
  <si>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</si>
  <si>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</si>
  <si>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</si>
  <si>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</si>
  <si>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</si>
  <si>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</si>
  <si>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</si>
  <si>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</si>
  <si>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</si>
  <si>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</si>
  <si>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</si>
  <si>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</si>
  <si>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</si>
  <si>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</si>
  <si>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</si>
  <si>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</si>
  <si>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</si>
  <si>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</si>
  <si>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</si>
  <si>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</si>
  <si>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</si>
  <si>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</si>
  <si>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</si>
  <si>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</si>
  <si>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</si>
  <si>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</si>
  <si>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</si>
  <si>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</si>
  <si>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</si>
  <si>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</si>
  <si>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</si>
  <si>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</si>
  <si>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</si>
  <si>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</si>
  <si>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</si>
  <si>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</si>
  <si>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</si>
  <si>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</si>
  <si>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</si>
  <si>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</si>
  <si>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</si>
  <si>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</si>
  <si>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</si>
  <si>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</si>
  <si>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</si>
  <si>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</si>
  <si>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</si>
  <si>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</si>
  <si>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</si>
  <si>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</si>
  <si>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</si>
  <si>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</si>
  <si>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</si>
  <si>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</si>
  <si>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</si>
  <si>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</si>
  <si>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</si>
  <si>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</si>
  <si>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</si>
  <si>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</si>
  <si>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</si>
  <si>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</si>
  <si>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</si>
  <si>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</si>
  <si>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</si>
  <si>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</si>
  <si>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</si>
  <si>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</si>
  <si>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</si>
  <si>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</si>
  <si>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</si>
  <si>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</si>
  <si>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</si>
  <si>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</si>
  <si>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</si>
  <si>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</si>
  <si>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</si>
  <si>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</si>
  <si>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</si>
  <si>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</si>
  <si>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</si>
  <si>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</si>
  <si>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</si>
  <si>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</si>
  <si>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</si>
  <si>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</si>
  <si>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</si>
  <si>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</si>
  <si>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</si>
  <si>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</si>
  <si>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</si>
  <si>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</si>
  <si>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</si>
  <si>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</si>
  <si>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</si>
  <si>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</si>
  <si>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</si>
  <si>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</si>
  <si>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</si>
  <si>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</si>
  <si>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</si>
  <si>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</si>
  <si>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</si>
  <si>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</si>
  <si>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</si>
  <si>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</si>
  <si>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</si>
  <si>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</si>
  <si>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</si>
  <si>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</si>
  <si>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</si>
  <si>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</si>
  <si>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</si>
  <si>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</si>
  <si>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</si>
  <si>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</si>
  <si>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</si>
  <si>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</si>
  <si>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</si>
  <si>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</si>
  <si>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</si>
  <si>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</si>
  <si>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</si>
  <si>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</si>
  <si>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</si>
  <si>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</si>
  <si>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</si>
  <si>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</si>
  <si>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</si>
  <si>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</si>
  <si>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</si>
  <si>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</si>
  <si>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</si>
  <si>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</si>
  <si>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</si>
  <si>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</si>
  <si>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</si>
  <si>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</si>
  <si>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</si>
  <si>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</si>
  <si>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</si>
  <si>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</si>
  <si>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</si>
  <si>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</si>
  <si>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</si>
  <si>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</si>
  <si>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</si>
  <si>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</si>
  <si>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</si>
  <si>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</si>
  <si>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</si>
  <si>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</si>
  <si>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</si>
  <si>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</si>
  <si>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</si>
  <si>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</si>
  <si>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</si>
  <si>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</si>
  <si>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</si>
  <si>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</si>
  <si>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</si>
  <si>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</si>
  <si>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</si>
  <si>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</si>
  <si>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</si>
  <si>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</si>
  <si>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</si>
  <si>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</si>
  <si>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</si>
  <si>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</si>
  <si>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</si>
  <si>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</si>
  <si>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</si>
  <si>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</si>
  <si>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</si>
  <si>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</si>
  <si>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</si>
  <si>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</si>
  <si>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</si>
  <si>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</si>
  <si>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</si>
  <si>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</si>
  <si>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</si>
  <si>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</si>
  <si>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</si>
  <si>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</si>
  <si>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</si>
  <si>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</si>
  <si>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</si>
  <si>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</si>
  <si>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</si>
  <si>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</si>
  <si>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</si>
  <si>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</si>
  <si>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</si>
  <si>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</si>
  <si>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</si>
  <si>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</si>
  <si>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</si>
  <si>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</si>
  <si>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</si>
  <si>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</si>
  <si>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</si>
  <si>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</si>
  <si>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</si>
  <si>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</si>
  <si>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</si>
  <si>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</si>
  <si>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</si>
  <si>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</si>
  <si>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</si>
  <si>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</si>
  <si>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</si>
  <si>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</si>
  <si>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</si>
  <si>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</si>
  <si>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</si>
  <si>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</si>
  <si>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</si>
  <si>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</si>
  <si>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</si>
  <si>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</si>
  <si>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</si>
  <si>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</si>
  <si>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</si>
  <si>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</si>
  <si>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</si>
  <si>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</si>
  <si>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</si>
  <si>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</si>
  <si>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</si>
  <si>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</si>
  <si>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</si>
  <si>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</si>
  <si>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</si>
  <si>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</si>
  <si>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</si>
  <si>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</si>
  <si>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</si>
  <si>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</si>
  <si>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</si>
  <si>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</si>
  <si>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</si>
  <si>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</si>
  <si>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</si>
  <si>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</si>
  <si>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</si>
  <si>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</si>
  <si>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</si>
  <si>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</si>
  <si>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</si>
  <si>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</si>
  <si>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</si>
  <si>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</si>
  <si>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</si>
  <si>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</si>
  <si>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</si>
  <si>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</si>
  <si>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</si>
  <si>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</si>
  <si>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</si>
  <si>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</si>
  <si>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</si>
  <si>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</si>
  <si>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</si>
  <si>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</si>
  <si>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</si>
  <si>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</si>
  <si>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</si>
  <si>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</si>
  <si>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</si>
  <si>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</si>
  <si>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</si>
  <si>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</si>
  <si>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</si>
  <si>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</si>
  <si>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</si>
  <si>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</si>
  <si>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</si>
  <si>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</si>
  <si>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</si>
  <si>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</si>
  <si>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</si>
  <si>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</si>
  <si>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</si>
  <si>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</si>
  <si>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</si>
  <si>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</si>
  <si>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</si>
  <si>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</si>
  <si>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</si>
  <si>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</si>
  <si>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</si>
  <si>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</si>
  <si>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</si>
  <si>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</si>
  <si>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</si>
  <si>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</si>
  <si>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</si>
  <si>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</si>
  <si>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</si>
  <si>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</si>
  <si>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</si>
  <si>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</si>
  <si>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</si>
  <si>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</si>
  <si>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</si>
  <si>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</si>
  <si>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</si>
  <si>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</si>
  <si>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</si>
  <si>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</si>
  <si>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</si>
  <si>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</si>
  <si>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</si>
  <si>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</si>
  <si>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</si>
  <si>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</si>
  <si>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</si>
  <si>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</si>
  <si>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</si>
  <si>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</si>
  <si>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</si>
  <si>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</si>
  <si>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</si>
  <si>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</si>
  <si>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</si>
  <si>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</si>
  <si>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</si>
  <si>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</si>
  <si>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</si>
  <si>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</si>
  <si>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</si>
  <si>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</si>
  <si>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</si>
  <si>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</si>
  <si>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</si>
  <si>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</si>
  <si>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</si>
  <si>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</si>
  <si>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</si>
  <si>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</si>
  <si>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</si>
  <si>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</si>
  <si>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</si>
  <si>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</si>
  <si>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</si>
  <si>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</si>
  <si>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</si>
  <si>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</si>
  <si>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</si>
  <si>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</si>
  <si>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</si>
  <si>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</si>
  <si>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</si>
  <si>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</si>
  <si>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</si>
  <si>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</si>
  <si>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</si>
  <si>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</si>
  <si>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</si>
  <si>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</si>
  <si>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</si>
  <si>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</si>
  <si>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</si>
  <si>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</si>
  <si>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</si>
  <si>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</si>
  <si>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</si>
  <si>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</si>
  <si>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</si>
  <si>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</si>
  <si>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</si>
  <si>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</si>
  <si>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</si>
  <si>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</si>
  <si>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</si>
  <si>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</si>
  <si>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</si>
  <si>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</si>
  <si>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</si>
  <si>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</si>
  <si>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</si>
  <si>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</si>
  <si>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</si>
  <si>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</si>
  <si>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</si>
  <si>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</si>
  <si>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</si>
  <si>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</si>
  <si>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</si>
  <si>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</si>
  <si>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</si>
  <si>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</si>
  <si>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</si>
  <si>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</si>
  <si>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</si>
  <si>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</si>
  <si>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</si>
  <si>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</si>
  <si>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</si>
  <si>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</si>
  <si>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</si>
  <si>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</si>
  <si>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</si>
  <si>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</si>
  <si>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</si>
  <si>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</si>
  <si>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</si>
  <si>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</si>
  <si>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</si>
  <si>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</si>
  <si>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</si>
  <si>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</si>
  <si>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</si>
  <si>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</si>
  <si>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</si>
  <si>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</si>
  <si>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</si>
  <si>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</si>
  <si>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</si>
  <si>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</si>
  <si>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</si>
  <si>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</si>
  <si>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</si>
  <si>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</si>
  <si>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</si>
  <si>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</si>
  <si>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</si>
  <si>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</si>
  <si>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</si>
  <si>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</si>
  <si>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</si>
  <si>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</si>
  <si>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</si>
  <si>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</si>
  <si>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</si>
  <si>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</si>
  <si>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</si>
  <si>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</si>
  <si>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</si>
  <si>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</si>
  <si>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</si>
  <si>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</si>
  <si>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</si>
  <si>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</si>
  <si>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</si>
  <si>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</si>
  <si>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</si>
  <si>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</si>
  <si>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</si>
  <si>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</si>
  <si>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</si>
  <si>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</si>
  <si>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</si>
  <si>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</si>
  <si>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</si>
  <si>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</si>
  <si>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</si>
  <si>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</si>
  <si>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</si>
  <si>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</si>
  <si>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</si>
  <si>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</si>
  <si>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</si>
  <si>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</si>
  <si>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</si>
  <si>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</si>
  <si>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</si>
  <si>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</si>
  <si>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</si>
  <si>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</si>
  <si>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</si>
  <si>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</si>
  <si>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</si>
  <si>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</si>
  <si>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</si>
  <si>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</si>
  <si>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</si>
  <si>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</si>
  <si>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</si>
  <si>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</si>
  <si>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</si>
  <si>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</si>
  <si>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</si>
  <si>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</si>
  <si>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</si>
  <si>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</si>
  <si>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</si>
  <si>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</si>
  <si>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</si>
  <si>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</si>
  <si>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</si>
  <si>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</si>
  <si>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</si>
  <si>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</si>
  <si>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</si>
  <si>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</si>
  <si>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</si>
  <si>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</si>
  <si>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</si>
  <si>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</si>
  <si>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</si>
  <si>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</si>
  <si>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</si>
  <si>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</si>
  <si>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</si>
  <si>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</si>
  <si>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</si>
  <si>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</si>
  <si>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</si>
  <si>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</si>
  <si>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</si>
  <si>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</si>
  <si>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</si>
  <si>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</si>
  <si>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</si>
  <si>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</si>
  <si>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</si>
  <si>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</si>
  <si>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</si>
  <si>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</si>
  <si>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</si>
  <si>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</si>
  <si>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</si>
  <si>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</si>
  <si>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</si>
  <si>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</si>
  <si>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</si>
  <si>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</si>
  <si>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</si>
  <si>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</si>
  <si>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</si>
  <si>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</si>
  <si>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</si>
  <si>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</si>
  <si>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</si>
  <si>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</si>
  <si>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</si>
  <si>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</si>
  <si>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</si>
  <si>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</si>
  <si>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</si>
  <si>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</si>
  <si>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</si>
  <si>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</si>
  <si>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</si>
  <si>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</si>
  <si>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</si>
  <si>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</si>
  <si>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</si>
  <si>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</si>
  <si>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</si>
  <si>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</si>
  <si>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</si>
  <si>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</si>
  <si>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</si>
  <si>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</si>
  <si>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</si>
  <si>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</si>
  <si>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</si>
  <si>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</si>
  <si>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</si>
  <si>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</si>
  <si>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</si>
  <si>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</si>
  <si>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</si>
  <si>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</si>
  <si>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</si>
  <si>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</si>
  <si>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</si>
  <si>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</si>
  <si>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</si>
  <si>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</si>
  <si>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</si>
  <si>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</si>
  <si>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</si>
  <si>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</si>
  <si>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</si>
  <si>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</si>
  <si>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</si>
  <si>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</si>
  <si>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</si>
  <si>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</si>
  <si>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</si>
  <si>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</si>
  <si>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</si>
  <si>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</si>
  <si>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</si>
  <si>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</si>
  <si>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</si>
  <si>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</si>
  <si>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</si>
  <si>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</si>
  <si>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</si>
  <si>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</si>
  <si>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</si>
  <si>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</si>
  <si>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</si>
  <si>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</si>
  <si>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</si>
  <si>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</si>
  <si>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</si>
  <si>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</si>
  <si>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</si>
  <si>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</si>
  <si>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</si>
  <si>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</si>
  <si>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</si>
  <si>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</si>
  <si>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</si>
  <si>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</si>
  <si>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</si>
  <si>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</si>
  <si>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</si>
  <si>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</si>
  <si>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</si>
  <si>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</si>
  <si>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</si>
  <si>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</si>
  <si>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</si>
  <si>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</si>
  <si>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</si>
  <si>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</si>
  <si>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</si>
  <si>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</si>
  <si>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</si>
  <si>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</si>
  <si>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</si>
  <si>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</si>
  <si>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</si>
  <si>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</si>
  <si>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</si>
  <si>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</si>
  <si>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</si>
  <si>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</si>
  <si>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</si>
  <si>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</si>
  <si>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</si>
  <si>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</si>
  <si>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</si>
  <si>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</si>
  <si>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</si>
  <si>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</si>
  <si>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</si>
  <si>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</si>
  <si>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</si>
  <si>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</si>
  <si>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</si>
  <si>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</si>
  <si>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</si>
  <si>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</si>
  <si>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</si>
  <si>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</si>
  <si>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</si>
  <si>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</si>
  <si>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</si>
  <si>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</si>
  <si>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</si>
  <si>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</si>
  <si>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</si>
  <si>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</si>
  <si>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</si>
  <si>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</si>
  <si>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</si>
  <si>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</si>
  <si>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</si>
  <si>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</si>
  <si>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</si>
  <si>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</si>
  <si>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</si>
  <si>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</si>
  <si>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</si>
  <si>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</si>
  <si>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</si>
  <si>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</si>
  <si>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</si>
  <si>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</si>
  <si>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</si>
  <si>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</si>
  <si>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</si>
  <si>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</si>
  <si>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</si>
  <si>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</si>
  <si>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</si>
  <si>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</si>
  <si>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</si>
  <si>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</si>
  <si>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</si>
  <si>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</si>
  <si>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</si>
  <si>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</si>
  <si>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</si>
  <si>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</si>
  <si>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</si>
  <si>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</si>
  <si>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</si>
  <si>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</si>
  <si>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</si>
  <si>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</si>
  <si>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</si>
  <si>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</si>
  <si>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</si>
  <si>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</si>
  <si>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</si>
  <si>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</si>
  <si>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</si>
  <si>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</si>
  <si>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</si>
  <si>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</si>
  <si>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</si>
  <si>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</si>
  <si>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</si>
  <si>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</si>
  <si>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</si>
  <si>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</si>
  <si>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</si>
  <si>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</si>
  <si>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</si>
  <si>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</si>
  <si>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</si>
  <si>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</si>
  <si>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</si>
  <si>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</si>
  <si>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</si>
  <si>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</si>
  <si>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</si>
  <si>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</si>
  <si>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</si>
  <si>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</si>
  <si>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</si>
  <si>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</si>
  <si>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</si>
  <si>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</si>
  <si>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</si>
  <si>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</si>
  <si>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</si>
  <si>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</si>
  <si>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</si>
  <si>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</si>
  <si>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</si>
  <si>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</si>
  <si>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</si>
  <si>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</si>
  <si>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</si>
  <si>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</si>
  <si>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</si>
  <si>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</si>
  <si>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</si>
  <si>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</si>
  <si>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</si>
  <si>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</si>
  <si>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</si>
  <si>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</si>
  <si>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</si>
  <si>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</si>
  <si>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</si>
  <si>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</si>
  <si>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</si>
  <si>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</si>
  <si>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</si>
  <si>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</si>
  <si>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</si>
  <si>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</si>
  <si>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</si>
  <si>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</si>
  <si>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</si>
  <si>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</si>
  <si>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</si>
  <si>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</si>
  <si>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</si>
  <si>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</si>
  <si>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</si>
  <si>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</si>
  <si>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</si>
  <si>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</si>
  <si>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</si>
  <si>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</si>
  <si>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</si>
  <si>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</si>
  <si>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</si>
  <si>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</si>
  <si>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</si>
  <si>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</si>
  <si>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</si>
  <si>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</si>
  <si>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</si>
  <si>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</si>
  <si>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</si>
  <si>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</si>
  <si>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</si>
  <si>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</si>
  <si>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</si>
  <si>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</si>
  <si>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</si>
  <si>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</si>
  <si>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</si>
  <si>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</si>
  <si>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</si>
  <si>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</si>
  <si>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</si>
  <si>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</si>
  <si>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</si>
  <si>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</si>
  <si>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</si>
  <si>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</si>
  <si>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</si>
  <si>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</si>
  <si>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</si>
  <si>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</si>
  <si>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</si>
  <si>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</si>
  <si>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</si>
  <si>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</si>
  <si>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</si>
  <si>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</si>
  <si>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</si>
  <si>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</si>
  <si>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</si>
  <si>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</si>
  <si>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</si>
  <si>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</si>
  <si>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</si>
  <si>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</si>
  <si>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</si>
  <si>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</si>
  <si>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</si>
  <si>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</si>
  <si>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</si>
  <si>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</si>
  <si>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</si>
  <si>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</si>
  <si>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</si>
  <si>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</si>
  <si>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</si>
  <si>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</si>
  <si>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</si>
  <si>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</si>
  <si>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</si>
  <si>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</si>
  <si>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</si>
  <si>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</si>
  <si>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</si>
  <si>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</si>
  <si>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</si>
  <si>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</si>
  <si>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</si>
  <si>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</si>
  <si>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</si>
  <si>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</si>
  <si>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</si>
  <si>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</si>
  <si>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</si>
  <si>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</si>
  <si>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</si>
  <si>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</si>
  <si>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</si>
  <si>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</si>
  <si>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</si>
  <si>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</si>
  <si>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</si>
  <si>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</si>
  <si>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</si>
  <si>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</si>
  <si>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</si>
  <si>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</si>
  <si>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</si>
  <si>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</si>
  <si>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</si>
  <si>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</si>
  <si>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</si>
  <si>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</si>
  <si>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</si>
  <si>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</si>
  <si>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</si>
  <si>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</si>
  <si>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</si>
  <si>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</si>
  <si>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</si>
  <si>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</si>
  <si>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</si>
  <si>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</si>
  <si>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</si>
  <si>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</si>
  <si>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</si>
  <si>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</si>
  <si>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</si>
  <si>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</si>
  <si>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</si>
  <si>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</si>
  <si>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</si>
  <si>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</si>
  <si>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</si>
  <si>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</si>
  <si>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</si>
  <si>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</si>
  <si>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</si>
  <si>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</si>
  <si>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</si>
  <si>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</si>
  <si>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</si>
  <si>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</si>
  <si>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</si>
  <si>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</si>
  <si>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</si>
  <si>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</si>
  <si>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</si>
  <si>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</si>
  <si>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</si>
  <si>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</si>
  <si>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</si>
  <si>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</si>
  <si>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</si>
  <si>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</si>
  <si>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</si>
  <si>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</si>
  <si>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</si>
  <si>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</si>
  <si>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</si>
  <si>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</si>
  <si>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</si>
  <si>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</si>
  <si>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</si>
  <si>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</si>
  <si>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</si>
  <si>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</si>
  <si>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</si>
  <si>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</si>
  <si>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</si>
  <si>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</si>
  <si>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</si>
  <si>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</si>
  <si>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</si>
  <si>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</si>
  <si>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</si>
  <si>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</si>
  <si>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</si>
  <si>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</si>
  <si>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</si>
  <si>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</si>
  <si>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</si>
  <si>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</si>
  <si>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</si>
  <si>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</si>
  <si>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</si>
  <si>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</si>
  <si>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</si>
  <si>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</si>
  <si>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</si>
  <si>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</si>
  <si>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</si>
  <si>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</si>
  <si>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</si>
  <si>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</si>
  <si>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</si>
  <si>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</si>
  <si>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</si>
  <si>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</si>
  <si>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</si>
  <si>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</si>
  <si>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</si>
  <si>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</si>
  <si>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</si>
  <si>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</si>
  <si>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</si>
  <si>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</si>
  <si>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</si>
  <si>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</si>
  <si>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</si>
  <si>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</si>
  <si>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</si>
  <si>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</si>
  <si>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</si>
  <si>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</si>
  <si>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</si>
  <si>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</si>
  <si>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</si>
  <si>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</si>
  <si>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</si>
  <si>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</si>
  <si>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</si>
  <si>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</si>
  <si>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</si>
  <si>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</si>
  <si>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</si>
  <si>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</si>
  <si>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</si>
  <si>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</si>
  <si>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</si>
  <si>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</si>
  <si>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</si>
  <si>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</si>
  <si>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</si>
  <si>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</si>
  <si>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</si>
  <si>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</si>
  <si>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</si>
  <si>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</si>
  <si>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</si>
  <si>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</si>
  <si>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</si>
  <si>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</si>
  <si>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</si>
  <si>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</si>
  <si>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</si>
  <si>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</si>
  <si>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</si>
  <si>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</si>
  <si>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</si>
  <si>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</si>
  <si>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</si>
  <si>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</si>
  <si>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</si>
  <si>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</si>
  <si>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</si>
  <si>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</si>
  <si>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</si>
  <si>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</si>
  <si>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</si>
  <si>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</si>
  <si>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</si>
  <si>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</si>
  <si>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</si>
  <si>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</si>
  <si>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</si>
  <si>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</si>
  <si>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</si>
  <si>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</si>
  <si>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</si>
  <si>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</si>
  <si>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</si>
  <si>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</si>
  <si>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</si>
  <si>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</si>
  <si>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</si>
  <si>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</si>
  <si>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</si>
  <si>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</si>
  <si>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</si>
  <si>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</si>
  <si>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</si>
  <si>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</si>
  <si>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</si>
  <si>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</si>
  <si>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</si>
  <si>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</si>
  <si>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</si>
  <si>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</si>
  <si>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</si>
  <si>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</si>
  <si>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</si>
  <si>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</si>
  <si>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</si>
  <si>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</si>
  <si>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</si>
  <si>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</si>
  <si>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</si>
  <si>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</si>
  <si>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</si>
  <si>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</si>
  <si>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</si>
  <si>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</si>
  <si>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</si>
  <si>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</si>
  <si>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</si>
  <si>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</si>
  <si>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</si>
  <si>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</si>
  <si>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</si>
  <si>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</si>
  <si>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</si>
  <si>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</si>
  <si>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</si>
  <si>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</si>
  <si>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</si>
  <si>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</si>
  <si>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</si>
  <si>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</si>
  <si>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</si>
  <si>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</si>
  <si>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</si>
  <si>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</si>
  <si>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</si>
  <si>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</si>
  <si>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</si>
  <si>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</si>
  <si>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</si>
  <si>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</si>
  <si>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</si>
  <si>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</si>
  <si>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</si>
  <si>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</si>
  <si>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</si>
  <si>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</si>
  <si>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</si>
  <si>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</si>
  <si>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</si>
  <si>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</si>
  <si>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</si>
  <si>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</si>
  <si>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</si>
  <si>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</si>
  <si>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</si>
  <si>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</si>
  <si>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</si>
  <si>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</si>
  <si>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</si>
  <si>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</si>
  <si>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</si>
  <si>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</si>
  <si>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</si>
  <si>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</si>
  <si>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</si>
  <si>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</si>
  <si>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</si>
  <si>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</si>
  <si>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</si>
  <si>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</si>
  <si>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</si>
  <si>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</si>
  <si>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</si>
  <si>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</si>
  <si>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</si>
  <si>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</si>
  <si>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</si>
  <si>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</si>
  <si>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</si>
  <si>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</si>
  <si>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</si>
  <si>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</si>
  <si>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</si>
  <si>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</si>
  <si>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</si>
  <si>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</si>
  <si>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</si>
  <si>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</si>
  <si>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</si>
  <si>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</si>
  <si>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</si>
  <si>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</si>
  <si>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</si>
  <si>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</si>
  <si>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</si>
  <si>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</si>
  <si>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</si>
  <si>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</si>
  <si>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</si>
  <si>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</si>
  <si>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</si>
  <si>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</si>
  <si>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</si>
  <si>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</si>
  <si>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</si>
  <si>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</si>
  <si>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</si>
  <si>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</si>
  <si>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</si>
  <si>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</si>
  <si>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</si>
  <si>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</si>
  <si>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</si>
  <si>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</si>
  <si>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</si>
  <si>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</si>
  <si>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</si>
  <si>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</si>
  <si>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</si>
  <si>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</si>
  <si>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</si>
  <si>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</si>
  <si>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</si>
  <si>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</si>
  <si>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</si>
  <si>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</si>
  <si>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</si>
  <si>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</si>
  <si>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</si>
  <si>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</si>
  <si>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</si>
  <si>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</si>
  <si>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</si>
  <si>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</si>
  <si>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</si>
  <si>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</si>
  <si>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</si>
  <si>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</si>
  <si>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</si>
  <si>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</si>
  <si>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</si>
  <si>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</si>
  <si>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</si>
  <si>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</si>
  <si>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</si>
  <si>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</si>
  <si>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</si>
  <si>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</si>
  <si>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</si>
  <si>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</si>
  <si>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</si>
  <si>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</si>
  <si>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</si>
  <si>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</si>
  <si>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</si>
  <si>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</si>
  <si>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</si>
  <si>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</si>
  <si>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</si>
  <si>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</si>
  <si>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</si>
  <si>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</si>
  <si>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</si>
  <si>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</si>
  <si>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</si>
  <si>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</si>
  <si>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</si>
  <si>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</si>
  <si>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</si>
  <si>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</si>
  <si>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</si>
  <si>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</si>
  <si>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</si>
  <si>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</si>
  <si>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</si>
  <si>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</si>
  <si>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</si>
  <si>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</si>
  <si>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</si>
  <si>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</si>
  <si>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</si>
  <si>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</si>
  <si>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</si>
  <si>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</si>
  <si>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</si>
  <si>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</si>
  <si>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</si>
  <si>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</si>
  <si>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</si>
  <si>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</si>
  <si>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</si>
  <si>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</si>
  <si>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</si>
  <si>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</si>
  <si>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</si>
  <si>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</si>
  <si>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</si>
  <si>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</si>
  <si>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</si>
  <si>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</si>
  <si>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</si>
  <si>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</si>
  <si>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</si>
  <si>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</si>
  <si>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</si>
  <si>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</si>
  <si>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</si>
  <si>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</si>
  <si>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</si>
  <si>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</si>
  <si>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</si>
  <si>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</si>
  <si>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</si>
  <si>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</si>
  <si>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</si>
  <si>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</si>
  <si>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</si>
  <si>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</si>
  <si>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</si>
  <si>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</si>
  <si>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</si>
  <si>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</si>
  <si>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</si>
  <si>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</si>
  <si>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</si>
  <si>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</si>
  <si>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</si>
  <si>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</si>
  <si>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</si>
  <si>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</si>
  <si>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</si>
  <si>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</si>
  <si>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</si>
  <si>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</si>
  <si>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</si>
  <si>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</si>
  <si>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</si>
  <si>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</si>
  <si>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</si>
  <si>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</si>
  <si>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</si>
  <si>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</si>
  <si>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</si>
  <si>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</si>
  <si>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</si>
  <si>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</si>
  <si>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</si>
  <si>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</si>
  <si>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</si>
  <si>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</si>
  <si>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</si>
  <si>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</si>
  <si>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</si>
  <si>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</si>
  <si>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</si>
  <si>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</si>
  <si>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</si>
  <si>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</si>
  <si>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</si>
  <si>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</si>
  <si>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</si>
  <si>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</si>
  <si>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</si>
  <si>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</si>
  <si>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</si>
  <si>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</si>
  <si>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</si>
  <si>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</si>
  <si>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</si>
  <si>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</si>
  <si>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</si>
  <si>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</si>
  <si>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</si>
  <si>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</si>
  <si>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</si>
  <si>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</si>
  <si>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</si>
  <si>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</si>
  <si>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</si>
  <si>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</si>
  <si>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</si>
  <si>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</si>
  <si>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</si>
  <si>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</si>
  <si>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</si>
  <si>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</si>
  <si>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</si>
  <si>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</si>
  <si>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</si>
  <si>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</si>
  <si>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</si>
  <si>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</si>
  <si>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</si>
  <si>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</si>
  <si>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</si>
  <si>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</si>
  <si>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</si>
  <si>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</si>
  <si>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</si>
  <si>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</si>
  <si>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</si>
  <si>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</si>
  <si>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</si>
  <si>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</si>
  <si>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</si>
  <si>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</si>
  <si>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</si>
  <si>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</si>
  <si>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</si>
  <si>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</si>
  <si>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</si>
  <si>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</si>
  <si>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</si>
  <si>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</si>
  <si>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</si>
  <si>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</si>
  <si>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</si>
  <si>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</si>
  <si>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</si>
  <si>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</si>
  <si>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</si>
  <si>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</si>
  <si>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</si>
  <si>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</si>
  <si>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</si>
  <si>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</si>
  <si>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</si>
  <si>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</si>
  <si>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</si>
  <si>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</si>
  <si>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</si>
  <si>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</si>
  <si>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</si>
  <si>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</si>
  <si>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</si>
  <si>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</si>
  <si>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</si>
  <si>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</si>
  <si>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</si>
  <si>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</si>
  <si>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</si>
  <si>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</si>
  <si>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</si>
  <si>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</si>
  <si>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</si>
  <si>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</si>
  <si>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</si>
  <si>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</si>
  <si>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</si>
  <si>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</si>
  <si>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</si>
  <si>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</si>
  <si>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</si>
  <si>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</si>
  <si>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</si>
  <si>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</si>
  <si>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</si>
  <si>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</si>
  <si>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</si>
  <si>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</si>
  <si>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</si>
  <si>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</si>
  <si>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</si>
  <si>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</si>
  <si>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</si>
  <si>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</si>
  <si>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</si>
  <si>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</si>
  <si>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</si>
  <si>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</si>
  <si>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</si>
  <si>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</si>
  <si>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</si>
  <si>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</si>
  <si>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</si>
  <si>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</si>
  <si>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</si>
  <si>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</si>
  <si>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</si>
  <si>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</si>
  <si>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</si>
  <si>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</si>
  <si>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</si>
  <si>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</si>
  <si>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</si>
  <si>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</si>
  <si>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</si>
  <si>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</si>
  <si>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</si>
  <si>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</si>
  <si>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</si>
  <si>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</si>
  <si>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</si>
  <si>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</si>
  <si>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</si>
  <si>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</si>
  <si>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</si>
  <si>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</si>
  <si>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</si>
  <si>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</si>
  <si>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</si>
  <si>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</si>
  <si>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</si>
  <si>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</si>
  <si>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</si>
  <si>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</si>
  <si>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</si>
  <si>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</si>
  <si>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</si>
  <si>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</si>
  <si>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</si>
  <si>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</si>
  <si>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</si>
  <si>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</si>
  <si>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</si>
  <si>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</si>
  <si>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</si>
  <si>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</si>
  <si>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</si>
  <si>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</si>
  <si>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</si>
  <si>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</si>
  <si>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</si>
  <si>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</si>
  <si>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</si>
  <si>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</si>
  <si>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</si>
  <si>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</si>
  <si>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</si>
  <si>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</si>
  <si>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</si>
  <si>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</si>
  <si>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</si>
  <si>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</si>
  <si>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</si>
  <si>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</si>
  <si>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</si>
  <si>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</si>
  <si>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</si>
  <si>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</si>
  <si>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</si>
  <si>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</si>
  <si>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</si>
  <si>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</si>
  <si>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</si>
  <si>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</si>
  <si>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</si>
  <si>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</si>
  <si>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</si>
  <si>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</si>
  <si>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</si>
  <si>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</si>
  <si>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</si>
  <si>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</si>
  <si>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</si>
  <si>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</si>
  <si>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</si>
  <si>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</si>
  <si>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</si>
  <si>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</si>
  <si>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</si>
  <si>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</si>
  <si>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</si>
  <si>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</si>
  <si>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</si>
  <si>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</si>
  <si>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</si>
  <si>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</si>
  <si>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</si>
  <si>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</si>
  <si>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</si>
  <si>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</si>
  <si>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</si>
  <si>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</si>
  <si>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</si>
  <si>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</si>
  <si>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</si>
  <si>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</si>
  <si>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</si>
  <si>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</si>
  <si>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</si>
  <si>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</si>
  <si>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</si>
  <si>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</si>
  <si>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</si>
  <si>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</si>
  <si>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</si>
  <si>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</si>
  <si>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</si>
  <si>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</si>
  <si>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</si>
  <si>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</si>
  <si>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</si>
  <si>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</si>
  <si>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</si>
  <si>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</si>
  <si>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</si>
  <si>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</si>
  <si>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</si>
  <si>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</si>
  <si>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</si>
  <si>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</si>
  <si>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</si>
  <si>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</si>
  <si>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</si>
  <si>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</si>
  <si>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</si>
  <si>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</si>
  <si>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</si>
  <si>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</si>
  <si>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</si>
  <si>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</si>
  <si>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</si>
  <si>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</si>
  <si>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</si>
  <si>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</si>
  <si>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</si>
  <si>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</si>
  <si>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</si>
  <si>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</si>
  <si>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</si>
  <si>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</si>
  <si>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</si>
  <si>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</si>
  <si>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</si>
  <si>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</si>
  <si>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</si>
  <si>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</si>
  <si>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</si>
  <si>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</si>
  <si>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</si>
  <si>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</si>
  <si>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</si>
  <si>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</si>
  <si>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</si>
  <si>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</si>
  <si>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</si>
  <si>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</si>
  <si>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</si>
  <si>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</si>
  <si>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</si>
  <si>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</si>
  <si>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</si>
  <si>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</si>
  <si>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</si>
  <si>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</si>
  <si>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</si>
  <si>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</si>
  <si>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</si>
  <si>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</si>
  <si>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</si>
  <si>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</si>
  <si>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</si>
  <si>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</si>
  <si>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</si>
  <si>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</si>
  <si>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</si>
  <si>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</si>
  <si>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</si>
  <si>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</si>
  <si>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</si>
  <si>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</si>
  <si>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</si>
  <si>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</si>
  <si>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</si>
  <si>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</si>
  <si>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</si>
  <si>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</si>
  <si>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</si>
  <si>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</si>
  <si>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</si>
  <si>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</si>
  <si>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</si>
  <si>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</si>
  <si>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</si>
  <si>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</si>
  <si>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</si>
  <si>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</si>
  <si>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</si>
  <si>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</si>
  <si>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</si>
  <si>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</si>
  <si>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</si>
  <si>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</si>
  <si>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</si>
  <si>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</si>
  <si>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</si>
  <si>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</si>
  <si>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</si>
  <si>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</si>
  <si>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</si>
  <si>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</si>
  <si>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</si>
  <si>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</si>
  <si>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</si>
  <si>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</si>
  <si>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</si>
  <si>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</si>
  <si>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</si>
  <si>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</si>
  <si>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</si>
  <si>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</si>
  <si>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</si>
  <si>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</si>
  <si>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</si>
  <si>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</si>
  <si>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</si>
  <si>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</si>
  <si>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</si>
  <si>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</si>
  <si>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</si>
  <si>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</si>
  <si>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</si>
  <si>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</si>
  <si>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</si>
  <si>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</si>
  <si>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</si>
  <si>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</si>
  <si>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</si>
  <si>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</si>
  <si>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</si>
  <si>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</si>
  <si>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</si>
  <si>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</si>
  <si>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</si>
  <si>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</si>
  <si>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</si>
  <si>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</si>
  <si>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</si>
  <si>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</si>
  <si>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</si>
  <si>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</si>
  <si>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</si>
  <si>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</si>
  <si>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</si>
  <si>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</si>
  <si>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</si>
  <si>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</si>
  <si>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</si>
  <si>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</si>
  <si>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</si>
  <si>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</si>
  <si>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</si>
  <si>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</si>
  <si>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</si>
  <si>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</si>
  <si>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</si>
  <si>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</si>
  <si>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</si>
  <si>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</si>
  <si>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</si>
  <si>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</si>
  <si>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</si>
  <si>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</si>
  <si>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</si>
  <si>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</si>
  <si>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</si>
  <si>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</si>
  <si>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</si>
  <si>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</si>
  <si>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</si>
  <si>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</si>
  <si>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</si>
  <si>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</si>
  <si>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</si>
  <si>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</si>
  <si>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</si>
  <si>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</si>
  <si>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</si>
  <si>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</si>
  <si>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</si>
  <si>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</si>
  <si>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</si>
  <si>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</si>
  <si>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</si>
  <si>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</si>
  <si>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</si>
  <si>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</si>
  <si>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</si>
  <si>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</si>
  <si>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</si>
  <si>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</si>
  <si>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</si>
  <si>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</si>
  <si>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</si>
  <si>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</si>
  <si>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</si>
  <si>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</si>
  <si>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</si>
  <si>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</si>
  <si>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</si>
  <si>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</si>
  <si>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</si>
  <si>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</si>
  <si>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</si>
  <si>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</si>
  <si>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</si>
  <si>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</si>
  <si>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</si>
  <si>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</si>
  <si>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</si>
  <si>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</si>
  <si>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</si>
  <si>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</si>
  <si>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</si>
  <si>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</si>
  <si>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</si>
  <si>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</si>
  <si>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</si>
  <si>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</si>
  <si>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</si>
  <si>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</si>
  <si>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</si>
  <si>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</si>
  <si>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</si>
  <si>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</si>
  <si>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</si>
  <si>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</si>
  <si>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</si>
  <si>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</si>
  <si>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</si>
  <si>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</si>
  <si>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</si>
  <si>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</si>
  <si>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</si>
  <si>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</si>
  <si>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</si>
  <si>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</si>
  <si>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</si>
  <si>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</si>
  <si>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</si>
  <si>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</si>
  <si>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</si>
  <si>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</si>
  <si>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</si>
  <si>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</si>
  <si>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</si>
  <si>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</si>
  <si>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</si>
  <si>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</si>
  <si>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</si>
  <si>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</si>
  <si>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</si>
  <si>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</si>
  <si>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</si>
  <si>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</si>
  <si>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</si>
  <si>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</si>
  <si>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</si>
  <si>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</si>
  <si>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</si>
  <si>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</si>
  <si>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</si>
  <si>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</si>
  <si>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</si>
  <si>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</si>
  <si>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</si>
  <si>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</si>
  <si>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</si>
  <si>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</si>
  <si>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</si>
  <si>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</si>
  <si>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</si>
  <si>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</si>
  <si>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</si>
  <si>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</si>
  <si>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</si>
  <si>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</si>
  <si>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</si>
  <si>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</si>
  <si>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</si>
  <si>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</si>
  <si>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</si>
  <si>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</si>
  <si>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</si>
  <si>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</si>
  <si>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</si>
  <si>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</si>
  <si>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</si>
  <si>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</si>
  <si>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</si>
  <si>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</si>
  <si>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</si>
  <si>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</si>
  <si>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</si>
  <si>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</si>
  <si>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</si>
  <si>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</si>
  <si>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</si>
  <si>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</si>
  <si>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</si>
  <si>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</si>
  <si>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</si>
  <si>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</si>
  <si>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</si>
  <si>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</si>
  <si>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</si>
  <si>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</si>
  <si>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</si>
  <si>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</si>
  <si>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</si>
  <si>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</si>
  <si>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</si>
  <si>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</si>
  <si>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</si>
  <si>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</si>
  <si>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</si>
  <si>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</si>
  <si>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</si>
  <si>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</si>
  <si>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</si>
  <si>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</si>
  <si>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</si>
  <si>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</si>
  <si>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</si>
  <si>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</si>
  <si>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</si>
  <si>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</si>
  <si>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</si>
  <si>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</si>
  <si>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</si>
  <si>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</si>
  <si>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</si>
  <si>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</si>
  <si>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</si>
  <si>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</si>
  <si>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</si>
  <si>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</si>
  <si>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</si>
  <si>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</si>
  <si>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</si>
  <si>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</si>
  <si>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</si>
  <si>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</si>
  <si>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</si>
  <si>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</si>
  <si>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</si>
  <si>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</si>
  <si>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</si>
  <si>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</si>
  <si>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</si>
  <si>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</si>
  <si>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</si>
  <si>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</si>
  <si>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</si>
  <si>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</si>
  <si>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</si>
  <si>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</si>
  <si>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</si>
  <si>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</si>
  <si>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</si>
  <si>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</si>
  <si>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</si>
  <si>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</si>
  <si>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</si>
  <si>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</si>
  <si>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</si>
  <si>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</si>
  <si>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</si>
  <si>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</si>
  <si>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</si>
  <si>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</si>
  <si>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</si>
  <si>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</si>
  <si>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</si>
  <si>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</si>
  <si>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</si>
  <si>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</si>
  <si>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</si>
  <si>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</si>
  <si>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</si>
  <si>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</si>
  <si>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</si>
  <si>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</si>
  <si>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</si>
  <si>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</si>
  <si>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</si>
  <si>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</si>
  <si>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</si>
  <si>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</si>
  <si>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</si>
  <si>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</si>
  <si>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</si>
  <si>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</si>
  <si>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</si>
  <si>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</si>
  <si>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</si>
  <si>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</si>
  <si>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</si>
  <si>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</si>
  <si>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</si>
  <si>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</si>
  <si>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</si>
  <si>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</si>
  <si>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</si>
  <si>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</si>
  <si>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</si>
  <si>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</si>
  <si>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</si>
  <si>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</si>
  <si>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</si>
  <si>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</si>
  <si>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</si>
  <si>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</si>
  <si>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</si>
  <si>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</si>
  <si>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</si>
  <si>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</si>
  <si>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</si>
  <si>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</si>
  <si>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</si>
  <si>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</si>
  <si>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</si>
  <si>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</si>
  <si>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</si>
  <si>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</si>
  <si>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</si>
  <si>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</si>
  <si>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</si>
  <si>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</si>
  <si>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</si>
  <si>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</si>
  <si>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</si>
  <si>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</si>
  <si>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</si>
  <si>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</si>
  <si>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</si>
  <si>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</si>
  <si>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</si>
  <si>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</si>
  <si>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</si>
  <si>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</si>
  <si>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</si>
  <si>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</si>
  <si>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</si>
  <si>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</si>
  <si>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</si>
  <si>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</si>
  <si>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</si>
  <si>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</si>
  <si>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</si>
  <si>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</si>
  <si>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</si>
  <si>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</si>
  <si>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</si>
  <si>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</si>
  <si>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</si>
  <si>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</si>
  <si>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</si>
  <si>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</si>
  <si>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</si>
  <si>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</si>
  <si>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</si>
  <si>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</si>
  <si>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</si>
  <si>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</si>
  <si>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</si>
  <si>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</si>
  <si>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</si>
  <si>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</si>
  <si>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</si>
  <si>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</si>
  <si>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</si>
  <si>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</si>
  <si>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</si>
  <si>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</si>
  <si>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</si>
  <si>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</si>
  <si>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</si>
  <si>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</si>
  <si>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</si>
  <si>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</si>
  <si>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</si>
  <si>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</si>
  <si>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</si>
  <si>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</si>
  <si>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</si>
  <si>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</si>
  <si>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</si>
  <si>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</si>
  <si>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</si>
  <si>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</si>
  <si>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</si>
  <si>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</si>
  <si>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</si>
  <si>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</si>
  <si>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</si>
  <si>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</si>
  <si>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</si>
  <si>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</si>
  <si>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</si>
  <si>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</si>
  <si>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</si>
  <si>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</si>
  <si>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</si>
  <si>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</si>
  <si>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</si>
  <si>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</si>
  <si>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</si>
  <si>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</si>
  <si>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</si>
  <si>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</si>
  <si>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</si>
  <si>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</si>
  <si>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</si>
  <si>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</si>
  <si>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</si>
  <si>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</si>
  <si>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</si>
  <si>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</si>
  <si>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</si>
  <si>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</si>
  <si>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</si>
  <si>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</si>
  <si>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</si>
  <si>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</si>
  <si>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</si>
  <si>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</si>
  <si>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</si>
  <si>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</si>
  <si>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</si>
  <si>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</si>
  <si>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</si>
  <si>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</si>
  <si>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</si>
  <si>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</si>
  <si>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</si>
  <si>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</si>
  <si>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</si>
  <si>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</si>
  <si>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</si>
  <si>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</si>
  <si>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</si>
  <si>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</si>
  <si>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</si>
  <si>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</si>
  <si>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</si>
  <si>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</si>
  <si>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</si>
  <si>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</si>
  <si>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</si>
  <si>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</si>
  <si>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</si>
  <si>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</si>
  <si>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</si>
  <si>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</si>
  <si>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</si>
  <si>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</si>
  <si>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</si>
  <si>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</si>
  <si>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</si>
  <si>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</si>
  <si>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</si>
  <si>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</si>
  <si>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</si>
  <si>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</si>
  <si>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</si>
  <si>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</si>
  <si>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</si>
  <si>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</si>
  <si>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</si>
  <si>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</si>
  <si>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</si>
  <si>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</si>
  <si>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</si>
  <si>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</si>
  <si>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</si>
  <si>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</si>
  <si>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</si>
  <si>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</si>
  <si>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</si>
  <si>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</si>
  <si>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</si>
  <si>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</si>
  <si>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</si>
  <si>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</si>
  <si>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</si>
  <si>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</si>
  <si>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</si>
  <si>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</si>
  <si>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</si>
  <si>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</si>
  <si>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</si>
  <si>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</si>
  <si>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</si>
  <si>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</si>
  <si>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</si>
  <si>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</si>
  <si>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</si>
  <si>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</si>
  <si>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</si>
  <si>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</si>
  <si>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</si>
  <si>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</si>
  <si>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</si>
  <si>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</si>
  <si>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</si>
  <si>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</si>
  <si>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</si>
  <si>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</si>
  <si>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</si>
  <si>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</si>
  <si>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</si>
  <si>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</si>
  <si>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</si>
  <si>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</si>
  <si>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</si>
  <si>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</si>
  <si>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</si>
  <si>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</si>
  <si>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</si>
  <si>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</si>
  <si>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</si>
  <si>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</si>
  <si>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</si>
  <si>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</si>
  <si>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</si>
  <si>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</si>
  <si>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</si>
  <si>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</si>
  <si>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</si>
  <si>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</si>
  <si>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</si>
  <si>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</si>
  <si>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</si>
  <si>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</si>
  <si>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</si>
  <si>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</si>
  <si>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</si>
  <si>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</si>
  <si>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</si>
  <si>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</si>
  <si>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</si>
  <si>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</si>
  <si>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</si>
  <si>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</si>
  <si>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</si>
  <si>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</si>
  <si>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</si>
  <si>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</si>
  <si>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</si>
  <si>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</si>
  <si>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</si>
  <si>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</si>
  <si>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</si>
  <si>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</si>
  <si>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</si>
  <si>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</si>
  <si>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</si>
  <si>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</si>
  <si>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</si>
  <si>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</si>
  <si>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</si>
  <si>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</si>
  <si>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</si>
  <si>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</si>
  <si>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</si>
  <si>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</si>
  <si>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</si>
  <si>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</si>
  <si>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</si>
  <si>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</si>
  <si>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</si>
  <si>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</si>
  <si>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</si>
  <si>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</si>
  <si>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</si>
  <si>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</si>
  <si>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</si>
  <si>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</si>
  <si>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</si>
  <si>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</si>
  <si>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</si>
  <si>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</si>
  <si>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</si>
  <si>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</si>
  <si>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</si>
  <si>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</si>
  <si>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</si>
  <si>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</si>
  <si>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</si>
  <si>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</si>
  <si>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</si>
  <si>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</si>
  <si>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</si>
  <si>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</si>
  <si>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</si>
  <si>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</si>
  <si>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</si>
  <si>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</si>
  <si>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</si>
  <si>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</si>
  <si>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</si>
  <si>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</si>
  <si>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</si>
  <si>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</si>
  <si>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</si>
  <si>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</si>
  <si>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</si>
  <si>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</si>
  <si>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</si>
  <si>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</si>
  <si>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</si>
  <si>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</si>
  <si>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</si>
  <si>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</si>
  <si>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</si>
  <si>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</si>
  <si>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</si>
  <si>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</si>
  <si>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</si>
  <si>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</si>
  <si>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</si>
  <si>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</si>
  <si>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</si>
  <si>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</si>
  <si>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</si>
  <si>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</si>
  <si>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</si>
  <si>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</si>
  <si>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</si>
  <si>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</si>
  <si>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</si>
  <si>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</si>
  <si>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</si>
  <si>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</si>
  <si>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</si>
  <si>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</si>
  <si>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</si>
  <si>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</si>
  <si>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</si>
  <si>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</si>
  <si>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</si>
  <si>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</si>
  <si>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</si>
  <si>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</si>
  <si>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</si>
  <si>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</si>
  <si>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</si>
  <si>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</si>
  <si>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</si>
  <si>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</si>
  <si>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</si>
  <si>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</si>
  <si>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</si>
  <si>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</si>
  <si>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</si>
  <si>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</si>
  <si>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</si>
  <si>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</si>
  <si>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</si>
  <si>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</si>
  <si>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</si>
  <si>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</si>
  <si>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</si>
  <si>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</si>
  <si>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</si>
  <si>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</si>
  <si>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</si>
  <si>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</si>
  <si>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</si>
  <si>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</si>
  <si>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</si>
  <si>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</si>
  <si>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</si>
  <si>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</si>
  <si>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</si>
  <si>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</si>
  <si>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</si>
  <si>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</si>
  <si>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</si>
  <si>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</si>
  <si>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</si>
  <si>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</si>
  <si>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</si>
  <si>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</si>
  <si>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</si>
  <si>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</si>
  <si>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</si>
  <si>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</si>
  <si>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</si>
  <si>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</si>
  <si>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</si>
  <si>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</si>
  <si>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</si>
  <si>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</si>
  <si>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</si>
  <si>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</si>
  <si>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</si>
  <si>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</si>
  <si>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</si>
  <si>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</si>
  <si>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</si>
  <si>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</si>
  <si>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</si>
  <si>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</si>
  <si>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</si>
  <si>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</si>
  <si>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</si>
  <si>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</si>
  <si>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</si>
  <si>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</si>
  <si>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</si>
  <si>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</si>
  <si>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</si>
  <si>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</si>
  <si>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</si>
  <si>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</si>
  <si>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</si>
  <si>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</si>
  <si>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</si>
  <si>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</si>
  <si>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</si>
  <si>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</si>
  <si>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</si>
  <si>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</si>
  <si>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</si>
  <si>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</si>
  <si>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</si>
  <si>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</si>
  <si>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</si>
  <si>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</si>
  <si>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</si>
  <si>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</si>
  <si>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</si>
  <si>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</si>
  <si>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</si>
  <si>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</si>
  <si>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</si>
  <si>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</si>
  <si>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</si>
  <si>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</si>
  <si>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</si>
  <si>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</si>
  <si>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</si>
  <si>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</si>
  <si>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</si>
  <si>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</si>
  <si>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</si>
  <si>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</si>
  <si>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</si>
  <si>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</si>
  <si>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</si>
  <si>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</si>
  <si>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</si>
  <si>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</si>
  <si>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</si>
  <si>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</si>
  <si>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</si>
  <si>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</si>
  <si>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</si>
  <si>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</si>
  <si>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</si>
  <si>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</si>
  <si>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</si>
  <si>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</si>
  <si>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</si>
  <si>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</si>
  <si>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</si>
  <si>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</si>
  <si>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</si>
  <si>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</si>
  <si>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</si>
  <si>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</si>
  <si>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</si>
  <si>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</si>
  <si>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</si>
  <si>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</si>
  <si>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</si>
  <si>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</si>
  <si>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</si>
  <si>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</si>
  <si>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</si>
  <si>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</si>
  <si>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</si>
  <si>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</si>
  <si>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</si>
  <si>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</si>
  <si>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</si>
  <si>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</si>
  <si>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</si>
  <si>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</si>
  <si>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</si>
  <si>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</si>
  <si>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</si>
  <si>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</si>
  <si>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</si>
  <si>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</si>
  <si>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</si>
  <si>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</si>
  <si>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</si>
  <si>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</si>
  <si>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</si>
  <si>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</si>
  <si>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</si>
  <si>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</si>
  <si>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</si>
  <si>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</si>
  <si>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</si>
  <si>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</si>
  <si>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</si>
  <si>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</si>
  <si>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</si>
  <si>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</si>
  <si>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</si>
  <si>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</si>
  <si>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</si>
  <si>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</si>
  <si>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</si>
  <si>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</si>
  <si>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</si>
  <si>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</si>
  <si>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</si>
  <si>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</si>
  <si>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</si>
  <si>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</si>
  <si>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</si>
  <si>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</si>
  <si>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</si>
  <si>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</si>
  <si>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</si>
  <si>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</si>
  <si>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</si>
  <si>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</si>
  <si>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</si>
  <si>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</si>
  <si>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</si>
  <si>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</si>
  <si>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</si>
  <si>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</si>
  <si>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</si>
  <si>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</si>
  <si>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</si>
  <si>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</si>
  <si>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</si>
  <si>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</si>
  <si>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</si>
  <si>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</si>
  <si>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</si>
  <si>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</si>
  <si>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</si>
  <si>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</si>
  <si>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</si>
  <si>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</si>
  <si>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</si>
  <si>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</si>
  <si>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</si>
  <si>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</si>
  <si>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</si>
  <si>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</si>
  <si>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</si>
  <si>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</si>
  <si>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</si>
  <si>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</si>
  <si>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</si>
  <si>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</si>
  <si>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</si>
  <si>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</si>
  <si>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</si>
  <si>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</si>
  <si>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</si>
  <si>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</si>
  <si>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</si>
  <si>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</si>
  <si>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</si>
  <si>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</si>
  <si>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</si>
  <si>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</si>
  <si>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</si>
  <si>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</si>
  <si>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</si>
  <si>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</si>
  <si>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</si>
  <si>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</si>
  <si>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</si>
  <si>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</si>
  <si>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</si>
  <si>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</si>
  <si>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</si>
  <si>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</si>
  <si>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</si>
  <si>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</si>
  <si>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</si>
  <si>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</si>
  <si>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</si>
  <si>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</si>
  <si>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</si>
  <si>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</si>
  <si>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</si>
  <si>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</si>
  <si>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</si>
  <si>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</si>
  <si>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</si>
  <si>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</si>
  <si>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</si>
  <si>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</si>
  <si>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</si>
  <si>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</si>
  <si>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</si>
  <si>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</si>
  <si>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</si>
  <si>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</si>
  <si>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</si>
  <si>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</si>
  <si>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</si>
  <si>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</si>
  <si>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</si>
  <si>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</si>
  <si>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</si>
  <si>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</si>
  <si>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</si>
  <si>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</si>
  <si>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</si>
  <si>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</si>
  <si>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</si>
  <si>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</si>
  <si>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</si>
  <si>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</si>
  <si>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</si>
  <si>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</si>
  <si>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</si>
  <si>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</si>
  <si>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</si>
  <si>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</si>
  <si>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</si>
  <si>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</si>
  <si>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</si>
  <si>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</si>
  <si>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</si>
  <si>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</si>
  <si>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</si>
  <si>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</si>
  <si>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</si>
  <si>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</si>
  <si>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</si>
  <si>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</si>
  <si>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</si>
  <si>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</si>
  <si>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</si>
  <si>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</si>
  <si>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</si>
  <si>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</si>
  <si>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</si>
  <si>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</si>
  <si>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</si>
  <si>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</si>
  <si>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</si>
  <si>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</si>
  <si>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</si>
  <si>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</si>
  <si>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</si>
  <si>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</si>
  <si>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</si>
  <si>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</si>
  <si>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</si>
  <si>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</si>
  <si>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</si>
  <si>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</si>
  <si>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</si>
  <si>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</si>
  <si>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</si>
  <si>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</si>
  <si>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</si>
  <si>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</si>
  <si>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</si>
  <si>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</si>
  <si>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</si>
  <si>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</si>
  <si>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</si>
  <si>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</si>
  <si>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</si>
  <si>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</si>
  <si>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</si>
  <si>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</si>
  <si>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</si>
  <si>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</si>
  <si>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</si>
  <si>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</si>
  <si>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</si>
  <si>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</si>
  <si>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</si>
  <si>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</si>
  <si>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</si>
  <si>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</si>
  <si>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</si>
  <si>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</si>
  <si>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</si>
  <si>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</si>
  <si>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</si>
  <si>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</si>
  <si>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</si>
  <si>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</si>
  <si>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</si>
  <si>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</si>
  <si>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</si>
  <si>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</si>
  <si>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</si>
  <si>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</si>
  <si>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</si>
  <si>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</si>
  <si>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</si>
  <si>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</si>
  <si>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</si>
  <si>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</si>
  <si>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</si>
  <si>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</si>
  <si>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</si>
  <si>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</si>
  <si>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</si>
  <si>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</si>
  <si>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</si>
  <si>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</si>
  <si>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</si>
  <si>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</si>
  <si>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</si>
  <si>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</si>
  <si>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</si>
  <si>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</si>
  <si>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</si>
  <si>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</si>
  <si>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</si>
  <si>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</si>
  <si>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</si>
  <si>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</si>
  <si>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</si>
  <si>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</si>
  <si>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</si>
  <si>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</si>
  <si>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</si>
  <si>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</si>
  <si>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</si>
  <si>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</si>
  <si>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</si>
  <si>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</si>
  <si>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</si>
  <si>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</si>
  <si>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</si>
  <si>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</si>
  <si>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</si>
  <si>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</si>
  <si>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</si>
  <si>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</si>
  <si>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</si>
  <si>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</si>
  <si>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</si>
  <si>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</si>
  <si>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</si>
  <si>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</si>
  <si>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</si>
  <si>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</si>
  <si>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</si>
  <si>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</si>
  <si>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</si>
  <si>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</si>
  <si>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</si>
  <si>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</si>
  <si>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</si>
  <si>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</si>
  <si>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</si>
  <si>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</si>
  <si>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</si>
  <si>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</si>
  <si>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</si>
  <si>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</si>
  <si>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</si>
  <si>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</si>
  <si>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</si>
  <si>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</si>
  <si>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</si>
  <si>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</si>
  <si>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</si>
  <si>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</si>
  <si>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</si>
  <si>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</si>
  <si>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</si>
  <si>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</si>
  <si>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</si>
  <si>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</si>
  <si>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</si>
  <si>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</si>
  <si>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</si>
  <si>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</si>
  <si>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</si>
  <si>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</si>
  <si>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</si>
  <si>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</si>
  <si>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</si>
  <si>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</si>
  <si>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</si>
  <si>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</si>
  <si>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</si>
  <si>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</si>
  <si>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</si>
  <si>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</si>
  <si>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</si>
  <si>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</si>
  <si>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</si>
  <si>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</si>
  <si>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</si>
  <si>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</si>
  <si>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</si>
  <si>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</si>
  <si>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</si>
  <si>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</si>
  <si>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</si>
  <si>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</si>
  <si>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</si>
  <si>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</si>
  <si>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</si>
  <si>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</si>
  <si>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</si>
  <si>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</si>
  <si>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</si>
  <si>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</si>
  <si>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</si>
  <si>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</si>
  <si>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</si>
  <si>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</si>
  <si>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</si>
  <si>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</si>
  <si>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</si>
  <si>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</si>
  <si>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</si>
  <si>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</si>
  <si>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</si>
  <si>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</si>
  <si>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</si>
  <si>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</si>
  <si>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</si>
  <si>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</si>
  <si>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</si>
  <si>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</si>
  <si>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</si>
  <si>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</si>
  <si>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</si>
  <si>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</si>
  <si>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</si>
  <si>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</si>
  <si>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</si>
  <si>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</si>
  <si>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</si>
  <si>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</si>
  <si>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</si>
  <si>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</si>
  <si>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</si>
  <si>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</si>
  <si>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</si>
  <si>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</si>
  <si>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</si>
  <si>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</si>
  <si>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</si>
  <si>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</si>
  <si>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</si>
  <si>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</si>
  <si>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</si>
  <si>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</si>
  <si>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</si>
  <si>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</si>
  <si>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</si>
  <si>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</si>
  <si>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</si>
  <si>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</si>
  <si>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</si>
  <si>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</si>
  <si>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</si>
  <si>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</si>
  <si>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</si>
  <si>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</si>
  <si>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</si>
  <si>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</si>
  <si>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</si>
  <si>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</si>
  <si>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</si>
  <si>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</si>
  <si>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</si>
  <si>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</si>
  <si>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</si>
  <si>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</si>
  <si>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</si>
  <si>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</si>
  <si>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</si>
  <si>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</si>
  <si>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</si>
  <si>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</si>
  <si>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</si>
  <si>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</si>
  <si>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</si>
  <si>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</si>
  <si>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</si>
  <si>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</si>
  <si>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</si>
  <si>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</si>
  <si>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</si>
  <si>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</si>
  <si>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</si>
  <si>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</si>
  <si>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</si>
  <si>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</si>
  <si>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</si>
  <si>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</si>
  <si>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</si>
  <si>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</si>
  <si>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</si>
  <si>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</si>
  <si>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</si>
  <si>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</si>
  <si>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</si>
  <si>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</si>
  <si>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</si>
  <si>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</si>
  <si>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</si>
  <si>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</si>
  <si>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</si>
  <si>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</si>
  <si>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</si>
  <si>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</si>
  <si>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</si>
  <si>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</si>
  <si>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</si>
  <si>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</si>
  <si>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</si>
  <si>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</si>
  <si>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</si>
  <si>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</si>
  <si>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</si>
  <si>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</si>
  <si>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</si>
  <si>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</si>
  <si>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</si>
  <si>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</si>
  <si>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</si>
  <si>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</si>
  <si>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</si>
  <si>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</si>
  <si>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</si>
  <si>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</si>
  <si>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</si>
  <si>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</si>
  <si>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</si>
  <si>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</si>
  <si>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</si>
  <si>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</si>
  <si>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</si>
  <si>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</si>
  <si>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</si>
  <si>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</si>
  <si>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</si>
  <si>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</si>
  <si>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</si>
  <si>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</si>
  <si>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</si>
  <si>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</si>
  <si>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</si>
  <si>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</si>
  <si>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</si>
  <si>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</si>
  <si>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</si>
  <si>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</si>
  <si>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</si>
  <si>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</si>
  <si>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</si>
  <si>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</si>
  <si>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</si>
  <si>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</si>
  <si>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</si>
  <si>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</si>
  <si>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</si>
  <si>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</si>
  <si>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</si>
  <si>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</si>
  <si>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</si>
  <si>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</si>
  <si>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</si>
  <si>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</si>
  <si>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</si>
  <si>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</si>
  <si>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</si>
  <si>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</si>
  <si>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</si>
  <si>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</si>
  <si>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</si>
  <si>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</si>
  <si>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</si>
  <si>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</si>
  <si>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</si>
  <si>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</si>
  <si>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</si>
  <si>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</si>
  <si>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</si>
  <si>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</si>
  <si>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</si>
  <si>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</si>
  <si>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</si>
  <si>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</si>
  <si>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</si>
  <si>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</si>
  <si>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</si>
  <si>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</si>
  <si>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</si>
  <si>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</si>
  <si>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</si>
  <si>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</si>
  <si>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</si>
  <si>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</si>
  <si>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</si>
  <si>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</si>
  <si>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</si>
  <si>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</si>
  <si>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</si>
  <si>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</si>
  <si>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</si>
  <si>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</si>
  <si>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</si>
  <si>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</si>
  <si>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</si>
  <si>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</si>
  <si>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</si>
  <si>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</si>
  <si>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</si>
  <si>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</si>
  <si>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</si>
  <si>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</si>
  <si>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</si>
  <si>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</si>
  <si>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</si>
  <si>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</si>
  <si>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</si>
  <si>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</si>
  <si>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</si>
  <si>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</si>
  <si>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</si>
  <si>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</si>
  <si>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</si>
  <si>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</si>
  <si>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</si>
  <si>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</si>
  <si>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</si>
  <si>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</si>
  <si>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</si>
  <si>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</si>
  <si>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</si>
  <si>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</si>
  <si>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</si>
  <si>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</si>
  <si>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</si>
  <si>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</si>
  <si>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</si>
  <si>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</si>
  <si>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</si>
  <si>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</si>
  <si>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</si>
  <si>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</si>
  <si>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</si>
  <si>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</si>
  <si>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</si>
  <si>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</si>
  <si>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</si>
  <si>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</si>
  <si>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</si>
  <si>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</si>
  <si>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</si>
  <si>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</si>
  <si>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</si>
  <si>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</si>
  <si>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</si>
  <si>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</si>
  <si>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</si>
  <si>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</si>
  <si>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</si>
  <si>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</si>
  <si>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</si>
  <si>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</si>
  <si>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</si>
  <si>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</si>
  <si>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</si>
  <si>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</si>
  <si>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</si>
  <si>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</si>
  <si>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</si>
  <si>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</si>
  <si>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</si>
  <si>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</si>
  <si>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</si>
  <si>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</si>
  <si>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</si>
  <si>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</si>
  <si>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</si>
  <si>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</si>
  <si>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</si>
  <si>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</si>
  <si>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</si>
  <si>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</si>
  <si>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</si>
  <si>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</si>
  <si>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</si>
  <si>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</si>
  <si>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</si>
  <si>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</si>
  <si>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</si>
  <si>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</si>
  <si>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</si>
  <si>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</si>
  <si>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</si>
  <si>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</si>
  <si>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</si>
  <si>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</si>
  <si>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</si>
  <si>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</si>
  <si>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</si>
  <si>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</si>
  <si>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</si>
  <si>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</si>
  <si>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</si>
  <si>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</si>
  <si>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</si>
  <si>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</si>
  <si>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</si>
  <si>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</si>
  <si>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</si>
  <si>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</si>
  <si>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</si>
  <si>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</si>
  <si>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</si>
  <si>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</si>
  <si>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</si>
  <si>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</si>
  <si>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</si>
  <si>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</si>
  <si>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</si>
  <si>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</si>
  <si>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</si>
  <si>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</si>
  <si>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</si>
  <si>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</si>
  <si>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</si>
  <si>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</si>
  <si>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</si>
  <si>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</si>
  <si>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</si>
  <si>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</si>
  <si>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</si>
  <si>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</si>
  <si>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</si>
  <si>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</si>
  <si>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</si>
  <si>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</si>
  <si>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</si>
  <si>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</si>
  <si>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</si>
  <si>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</si>
  <si>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</si>
  <si>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</si>
  <si>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</si>
  <si>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</si>
  <si>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</si>
  <si>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</si>
  <si>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</si>
  <si>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</si>
  <si>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</si>
  <si>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</si>
  <si>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</si>
  <si>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</si>
  <si>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</si>
  <si>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</si>
  <si>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</si>
  <si>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</si>
  <si>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</si>
  <si>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</si>
  <si>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</si>
  <si>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</si>
  <si>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</si>
  <si>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</si>
  <si>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</si>
  <si>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</si>
  <si>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</si>
  <si>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</si>
  <si>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</si>
  <si>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</si>
  <si>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</si>
  <si>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</si>
  <si>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</si>
  <si>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</si>
  <si>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</si>
  <si>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</si>
  <si>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</si>
  <si>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</si>
  <si>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</si>
  <si>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</si>
  <si>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</si>
  <si>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</si>
  <si>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</si>
  <si>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</si>
  <si>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</si>
  <si>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</si>
  <si>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</si>
  <si>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</si>
  <si>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</si>
  <si>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</si>
  <si>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</si>
  <si>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</si>
  <si>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</si>
  <si>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</si>
  <si>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</si>
  <si>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</si>
  <si>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</si>
  <si>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</si>
  <si>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</si>
  <si>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</si>
  <si>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</si>
  <si>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</si>
  <si>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</si>
  <si>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</si>
  <si>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</si>
  <si>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</si>
  <si>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</si>
  <si>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</si>
  <si>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</si>
  <si>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</si>
  <si>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</si>
  <si>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</si>
  <si>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</si>
  <si>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</si>
  <si>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</si>
  <si>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</si>
  <si>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</si>
  <si>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</si>
  <si>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</si>
  <si>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</si>
  <si>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</si>
  <si>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</si>
  <si>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</si>
  <si>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</si>
  <si>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</si>
  <si>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</si>
  <si>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</si>
  <si>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</si>
  <si>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</si>
  <si>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</si>
  <si>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</si>
  <si>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</si>
  <si>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</si>
  <si>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</si>
  <si>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</si>
  <si>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</si>
  <si>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</si>
  <si>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</si>
  <si>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</si>
  <si>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</si>
  <si>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</si>
  <si>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</si>
  <si>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</si>
  <si>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</si>
  <si>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</si>
  <si>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</si>
  <si>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</si>
  <si>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</si>
  <si>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</si>
  <si>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</si>
  <si>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</si>
  <si>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</si>
  <si>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</si>
  <si>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</si>
  <si>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</si>
  <si>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</si>
  <si>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</si>
  <si>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</si>
  <si>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</si>
  <si>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</si>
  <si>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</si>
  <si>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</si>
  <si>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</si>
  <si>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</si>
  <si>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</si>
  <si>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</si>
  <si>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</si>
  <si>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</si>
  <si>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</si>
  <si>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</si>
  <si>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</si>
  <si>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</si>
  <si>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</si>
  <si>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</si>
  <si>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</si>
  <si>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</si>
  <si>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</si>
  <si>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</si>
  <si>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</si>
  <si>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</si>
  <si>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</si>
  <si>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</si>
  <si>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</si>
  <si>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</si>
  <si>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</si>
  <si>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</si>
  <si>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</si>
  <si>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</si>
  <si>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</si>
  <si>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</si>
  <si>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</si>
  <si>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</si>
  <si>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</si>
  <si>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</si>
  <si>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</si>
  <si>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</si>
  <si>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</si>
  <si>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</si>
  <si>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</si>
  <si>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</si>
  <si>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</si>
  <si>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</si>
  <si>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</si>
  <si>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</si>
  <si>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</si>
  <si>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</si>
  <si>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</si>
  <si>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</si>
  <si>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</si>
  <si>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</si>
  <si>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</si>
  <si>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</si>
  <si>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</si>
  <si>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</si>
  <si>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</si>
  <si>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</si>
  <si>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</si>
  <si>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</si>
  <si>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</si>
  <si>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</si>
  <si>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</si>
  <si>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</si>
  <si>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</si>
  <si>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</si>
  <si>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</si>
  <si>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</si>
  <si>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</si>
  <si>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</si>
  <si>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</si>
  <si>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</si>
  <si>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</si>
  <si>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</si>
  <si>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</si>
  <si>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</si>
  <si>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</si>
  <si>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</si>
  <si>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</si>
  <si>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</si>
  <si>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</si>
  <si>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</si>
  <si>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</si>
  <si>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</si>
  <si>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</si>
  <si>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</si>
  <si>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</si>
  <si>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</si>
  <si>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</si>
  <si>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</si>
  <si>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</si>
  <si>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</si>
  <si>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</si>
  <si>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</si>
  <si>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</si>
  <si>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</si>
  <si>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</si>
  <si>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</si>
  <si>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</si>
  <si>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</si>
  <si>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</si>
  <si>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</si>
  <si>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</si>
  <si>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</si>
  <si>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</si>
  <si>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</si>
  <si>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</si>
  <si>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</si>
  <si>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</si>
  <si>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</si>
  <si>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</si>
  <si>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</si>
  <si>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</si>
  <si>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</si>
  <si>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</si>
  <si>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</si>
  <si>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</si>
  <si>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</si>
  <si>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</si>
  <si>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</si>
  <si>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</si>
  <si>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</si>
  <si>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</si>
  <si>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</si>
  <si>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</si>
  <si>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</si>
  <si>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</si>
  <si>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</si>
  <si>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</si>
  <si>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طلب از مداحی 8/8/1399</t>
  </si>
  <si>
    <t>25/8/1399</t>
  </si>
  <si>
    <t>زاگرس 35986 تا 16075</t>
  </si>
  <si>
    <t xml:space="preserve">اعتبار علی </t>
  </si>
  <si>
    <t>26/8/1399</t>
  </si>
  <si>
    <t>زاگرس 13527 تا 16382</t>
  </si>
  <si>
    <t>27/8/1399</t>
  </si>
  <si>
    <t>زاگرس 11258 تا 16692</t>
  </si>
  <si>
    <t>پلرس 1446 تا 14014</t>
  </si>
  <si>
    <t>28/8/1399</t>
  </si>
  <si>
    <t>زاگرس 10816 تا 16734</t>
  </si>
  <si>
    <t>1/9/1399</t>
  </si>
  <si>
    <t>بیمه 206 سفید تاریخ 10/8/1399</t>
  </si>
  <si>
    <t>یک میلیون به حساب سارا و 2.2 میلیون انصار مریم 1/9/1399</t>
  </si>
  <si>
    <t>2/9/1399</t>
  </si>
  <si>
    <t>زاگرس 1351 تا 17233.7</t>
  </si>
  <si>
    <t>3/9/1399</t>
  </si>
  <si>
    <t>زاگرس 363 تا 17001</t>
  </si>
  <si>
    <t>وغدیر 19866 تا 1328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</si>
</sst>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0"/>
  <sheetViews>
    <sheetView topLeftCell="A81" zoomScale="70" zoomScaleNormal="70" workbookViewId="0">
      <selection activeCell="J103" sqref="J103"/>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97"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97"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C113</f>
        <v>17000</v>
      </c>
      <c r="D89" s="217">
        <v>1</v>
      </c>
      <c r="E89" s="60" t="s">
        <v>4358</v>
      </c>
      <c r="F89" s="49">
        <f>C114</f>
        <v>15158</v>
      </c>
      <c r="G89" s="60">
        <f>C89*D89*0.99114/(F89*1.0037158)</f>
        <v>1.1074681920300939</v>
      </c>
      <c r="H89" s="205">
        <f>C89/F89</f>
        <v>1.1215199894445178</v>
      </c>
      <c r="I89" s="325">
        <f>F89/C89</f>
        <v>0.89164705882352946</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5826</v>
      </c>
      <c r="B91" s="289" t="s">
        <v>4220</v>
      </c>
      <c r="C91" s="291">
        <v>1164</v>
      </c>
      <c r="D91" s="289">
        <v>11401</v>
      </c>
      <c r="E91" s="60" t="s">
        <v>4358</v>
      </c>
      <c r="F91" s="49">
        <v>14014.5</v>
      </c>
      <c r="G91" s="60">
        <f t="shared" ref="G91:G93" si="13">C91*D91*0.99114/(F91*1.0037158)</f>
        <v>935.06663541027092</v>
      </c>
      <c r="H91" s="205">
        <f t="shared" ref="H91:H93" si="14">C91/F91</f>
        <v>8.3056833993364013E-2</v>
      </c>
      <c r="I91" s="325">
        <f t="shared" ref="I91:I93" si="15">F91/C91</f>
        <v>12.039948453608247</v>
      </c>
      <c r="J91" s="20" t="s">
        <v>25</v>
      </c>
      <c r="K91" s="20"/>
      <c r="L91" s="20"/>
      <c r="M91" s="20"/>
      <c r="N91" s="20"/>
      <c r="O91" s="94" t="s">
        <v>25</v>
      </c>
      <c r="P91" s="94" t="s">
        <v>25</v>
      </c>
      <c r="Q91" s="94" t="s">
        <v>25</v>
      </c>
      <c r="R91" s="94"/>
      <c r="S91" s="94"/>
      <c r="T91" s="94"/>
    </row>
    <row r="92" spans="1:25">
      <c r="A92" s="289"/>
      <c r="B92" s="289"/>
      <c r="C92" s="291"/>
      <c r="D92" s="289"/>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9"/>
      <c r="B93" s="289"/>
      <c r="C93" s="291"/>
      <c r="D93" s="289"/>
      <c r="E93" s="60"/>
      <c r="F93" s="49"/>
      <c r="G93" s="60" t="e">
        <f t="shared" si="13"/>
        <v>#DIV/0!</v>
      </c>
      <c r="H93" s="205" t="e">
        <f t="shared" si="14"/>
        <v>#DIV/0!</v>
      </c>
      <c r="I93" s="325" t="e">
        <f t="shared" si="15"/>
        <v>#DIV/0!</v>
      </c>
      <c r="J93" s="20"/>
      <c r="K93" s="20"/>
      <c r="L93" s="20"/>
      <c r="M93" s="20"/>
      <c r="N93" s="20"/>
      <c r="O93" s="94"/>
      <c r="P93" s="94"/>
      <c r="Q93" s="94"/>
      <c r="R93" s="97" t="s">
        <v>1071</v>
      </c>
      <c r="S93" s="97"/>
      <c r="T93" s="97"/>
      <c r="U93" s="97"/>
      <c r="V93" s="97"/>
      <c r="W93" s="97"/>
      <c r="X93" s="97"/>
      <c r="Y93" s="97"/>
    </row>
    <row r="94" spans="1:25">
      <c r="A94" s="289"/>
      <c r="B94" s="289" t="s">
        <v>4220</v>
      </c>
      <c r="C94" s="291">
        <f>C112</f>
        <v>1297</v>
      </c>
      <c r="D94" s="289">
        <v>1</v>
      </c>
      <c r="E94" s="60" t="s">
        <v>4358</v>
      </c>
      <c r="F94" s="49">
        <f>C114</f>
        <v>15158</v>
      </c>
      <c r="G94" s="60">
        <f t="shared" ref="G94" si="16">C94*D94*0.99114/(F94*1.0037158)</f>
        <v>8.449330853311951E-2</v>
      </c>
      <c r="H94" s="205">
        <f>C94/F94</f>
        <v>8.556537801820821E-2</v>
      </c>
      <c r="I94" s="325">
        <f>F94/C94</f>
        <v>11.686969930609099</v>
      </c>
      <c r="J94" s="97"/>
      <c r="K94" s="97">
        <f>H94/H91</f>
        <v>1.0302027407527312</v>
      </c>
      <c r="L94" s="97">
        <f>(1/K94-1.0256)*100</f>
        <v>-5.491727858796347</v>
      </c>
      <c r="M94" s="97"/>
      <c r="N94" s="97"/>
      <c r="O94" s="94"/>
      <c r="P94" s="94"/>
      <c r="Q94" s="94"/>
      <c r="R94" s="97"/>
      <c r="S94" s="97"/>
      <c r="T94" s="97" t="s">
        <v>922</v>
      </c>
      <c r="U94" s="97" t="s">
        <v>925</v>
      </c>
      <c r="V94" s="97" t="s">
        <v>5432</v>
      </c>
      <c r="W94" s="67" t="s">
        <v>1220</v>
      </c>
      <c r="X94" s="67" t="s">
        <v>926</v>
      </c>
      <c r="Y94" s="67" t="s">
        <v>5456</v>
      </c>
    </row>
    <row r="95" spans="1:25">
      <c r="A95" s="297"/>
      <c r="B95" s="297"/>
      <c r="C95" s="298"/>
      <c r="D95" s="297"/>
      <c r="E95" s="297"/>
      <c r="F95" s="298"/>
      <c r="G95" s="297"/>
      <c r="H95" s="299"/>
      <c r="I95" s="306"/>
      <c r="J95" s="297"/>
      <c r="K95" s="297"/>
      <c r="L95" s="297"/>
      <c r="M95" s="297"/>
      <c r="N95" s="97"/>
      <c r="O95" s="94"/>
      <c r="P95" s="94"/>
      <c r="Q95" s="94"/>
      <c r="R95" s="97"/>
      <c r="S95" s="97" t="s">
        <v>4362</v>
      </c>
      <c r="T95" s="97">
        <v>874</v>
      </c>
      <c r="U95" s="115">
        <v>6337102</v>
      </c>
      <c r="V95" s="115">
        <f>U95/T95</f>
        <v>7250.6887871853551</v>
      </c>
      <c r="W95" s="115">
        <f>V95*1.01</f>
        <v>7323.195675057209</v>
      </c>
      <c r="X95" s="97">
        <f>'برنامه 5 ساله'!P44</f>
        <v>17250</v>
      </c>
      <c r="Y95" s="115">
        <f>T95*X95</f>
        <v>15076500</v>
      </c>
    </row>
    <row r="96" spans="1:25" ht="18.75">
      <c r="A96" s="289" t="s">
        <v>5450</v>
      </c>
      <c r="B96" s="289" t="s">
        <v>4220</v>
      </c>
      <c r="C96" s="291">
        <v>591</v>
      </c>
      <c r="D96" s="289">
        <v>10061</v>
      </c>
      <c r="E96" s="287" t="s">
        <v>4362</v>
      </c>
      <c r="F96" s="288">
        <v>7941</v>
      </c>
      <c r="G96" s="296">
        <f>C96*D96*0.99025/(F96*1.0046399)</f>
        <v>738.05353120447069</v>
      </c>
      <c r="H96" s="295">
        <f>C96/F96</f>
        <v>7.4423876086135252E-2</v>
      </c>
      <c r="I96" s="305">
        <f t="shared" si="9"/>
        <v>13.436548223350254</v>
      </c>
      <c r="J96" s="97" t="s">
        <v>452</v>
      </c>
      <c r="K96" s="307">
        <v>1</v>
      </c>
      <c r="L96" s="319">
        <f>SUM(G96:G99)</f>
        <v>42640.217123351365</v>
      </c>
      <c r="M96" s="217" t="s">
        <v>5570</v>
      </c>
      <c r="N96" s="97"/>
      <c r="R96" s="97"/>
      <c r="S96" s="97" t="s">
        <v>4220</v>
      </c>
      <c r="T96" s="97">
        <v>295000</v>
      </c>
      <c r="U96" s="115">
        <v>148594302</v>
      </c>
      <c r="V96" s="115">
        <f>U96/T96</f>
        <v>503.70949830508476</v>
      </c>
      <c r="W96" s="115">
        <f>V96*1.01</f>
        <v>508.74659328813561</v>
      </c>
      <c r="X96" s="97">
        <f>'برنامه 5 ساله'!P28</f>
        <v>1300</v>
      </c>
      <c r="Y96" s="115">
        <f>T96*X96</f>
        <v>383500000</v>
      </c>
    </row>
    <row r="97" spans="1:27" ht="18.75">
      <c r="A97" s="289" t="s">
        <v>5451</v>
      </c>
      <c r="B97" s="289" t="s">
        <v>4220</v>
      </c>
      <c r="C97" s="291">
        <v>612</v>
      </c>
      <c r="D97" s="289">
        <v>27000</v>
      </c>
      <c r="E97" s="287" t="s">
        <v>4362</v>
      </c>
      <c r="F97" s="288">
        <v>7835</v>
      </c>
      <c r="G97" s="296">
        <f t="shared" si="10"/>
        <v>2078.7899765676852</v>
      </c>
      <c r="H97" s="295">
        <f t="shared" si="8"/>
        <v>7.8111040204211876E-2</v>
      </c>
      <c r="I97" s="305">
        <f t="shared" si="9"/>
        <v>12.802287581699346</v>
      </c>
      <c r="J97" s="97"/>
      <c r="K97" s="307">
        <f>H97/H96</f>
        <v>1.0495427584799433</v>
      </c>
      <c r="L97" s="60"/>
      <c r="M97" s="60" t="s">
        <v>5571</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5459</v>
      </c>
      <c r="B98" s="289" t="s">
        <v>4220</v>
      </c>
      <c r="C98" s="291">
        <v>657</v>
      </c>
      <c r="D98" s="289">
        <v>52385</v>
      </c>
      <c r="E98" s="287" t="s">
        <v>4362</v>
      </c>
      <c r="F98" s="288">
        <v>8202</v>
      </c>
      <c r="G98" s="296">
        <f>C98*D98*0.99025/(F98*1.0046399)</f>
        <v>4136.061439933047</v>
      </c>
      <c r="H98" s="295">
        <f>C98/F98</f>
        <v>8.0102414045354786E-2</v>
      </c>
      <c r="I98" s="305">
        <f>F98/C98</f>
        <v>12.484018264840183</v>
      </c>
      <c r="J98" s="97" t="s">
        <v>452</v>
      </c>
      <c r="K98" s="307">
        <f t="shared" ref="K98:K106" si="17">H98/H97</f>
        <v>1.0254941405969848</v>
      </c>
      <c r="L98" s="23">
        <v>0</v>
      </c>
      <c r="M98" s="23" t="s">
        <v>5572</v>
      </c>
      <c r="N98" s="97"/>
      <c r="O98" t="s">
        <v>25</v>
      </c>
      <c r="R98" s="97" t="s">
        <v>5431</v>
      </c>
      <c r="S98" s="97" t="s">
        <v>5332</v>
      </c>
      <c r="T98" s="97">
        <v>0</v>
      </c>
      <c r="U98" s="115">
        <v>683292</v>
      </c>
      <c r="V98" s="115"/>
      <c r="W98" s="115"/>
      <c r="X98" s="97" t="e">
        <f>'برنامه 5 ساله'!#REF!</f>
        <v>#REF!</v>
      </c>
      <c r="Y98" s="115">
        <f>U98</f>
        <v>683292</v>
      </c>
    </row>
    <row r="99" spans="1:27" ht="19.5">
      <c r="A99" s="289" t="s">
        <v>5821</v>
      </c>
      <c r="B99" s="289" t="s">
        <v>4220</v>
      </c>
      <c r="C99" s="291">
        <v>1071</v>
      </c>
      <c r="D99" s="289">
        <v>542446</v>
      </c>
      <c r="E99" s="287" t="s">
        <v>4362</v>
      </c>
      <c r="F99" s="288">
        <v>16075.2</v>
      </c>
      <c r="G99" s="321">
        <f t="shared" ref="G99" si="18">C99*D99*0.99114/(F99*1.0037158)</f>
        <v>35687.312175646162</v>
      </c>
      <c r="H99" s="301">
        <f t="shared" ref="H99:H107" si="19">C99/F99</f>
        <v>6.6624365482233494E-2</v>
      </c>
      <c r="I99" s="305">
        <f t="shared" ref="I99:I107" si="20">F99/C99</f>
        <v>15.009523809523809</v>
      </c>
      <c r="J99" s="97"/>
      <c r="K99" s="307">
        <f t="shared" si="17"/>
        <v>0.83173979556359079</v>
      </c>
      <c r="L99" s="97" t="s">
        <v>25</v>
      </c>
      <c r="M99" s="97"/>
      <c r="N99" s="97"/>
      <c r="R99" s="97" t="s">
        <v>5431</v>
      </c>
      <c r="S99" s="97" t="s">
        <v>4520</v>
      </c>
      <c r="T99" s="97">
        <v>0</v>
      </c>
      <c r="U99" s="115">
        <v>270969</v>
      </c>
      <c r="V99" s="115"/>
      <c r="W99" s="115"/>
      <c r="X99" s="97">
        <v>1500</v>
      </c>
      <c r="Y99" s="115">
        <f>U99</f>
        <v>270969</v>
      </c>
      <c r="AA99" t="s">
        <v>25</v>
      </c>
    </row>
    <row r="100" spans="1:27" ht="19.5">
      <c r="A100" s="289" t="s">
        <v>5824</v>
      </c>
      <c r="B100" s="289" t="s">
        <v>4220</v>
      </c>
      <c r="C100" s="291">
        <v>1122</v>
      </c>
      <c r="D100" s="289">
        <v>200000</v>
      </c>
      <c r="E100" s="287" t="s">
        <v>4362</v>
      </c>
      <c r="F100" s="288">
        <v>16381.2</v>
      </c>
      <c r="G100" s="321">
        <f>C100*D100*0.99114/(F100*1.0037158)</f>
        <v>13526.996659784178</v>
      </c>
      <c r="H100" s="301">
        <f t="shared" si="19"/>
        <v>6.8493150684931503E-2</v>
      </c>
      <c r="I100" s="305">
        <f t="shared" si="20"/>
        <v>14.600000000000001</v>
      </c>
      <c r="J100" s="97" t="s">
        <v>25</v>
      </c>
      <c r="K100" s="307">
        <f t="shared" si="17"/>
        <v>1.0280495759947816</v>
      </c>
      <c r="L100" s="97"/>
      <c r="M100" s="97"/>
      <c r="N100" s="97"/>
      <c r="R100" s="97"/>
      <c r="S100" s="97"/>
      <c r="T100" s="97"/>
      <c r="U100" s="115"/>
      <c r="V100" s="115"/>
      <c r="W100" s="97"/>
      <c r="X100" s="97"/>
      <c r="Y100" s="97"/>
    </row>
    <row r="101" spans="1:27" ht="19.5">
      <c r="A101" s="289" t="s">
        <v>5826</v>
      </c>
      <c r="B101" s="289" t="s">
        <v>4220</v>
      </c>
      <c r="C101" s="291">
        <v>1164</v>
      </c>
      <c r="D101" s="289">
        <v>163488</v>
      </c>
      <c r="E101" s="287" t="s">
        <v>4362</v>
      </c>
      <c r="F101" s="288">
        <v>16691.7</v>
      </c>
      <c r="G101" s="321">
        <f>C101*D101*0.99114/(F101*1.0037158)</f>
        <v>11258.033423624916</v>
      </c>
      <c r="H101" s="301">
        <f t="shared" si="19"/>
        <v>6.9735257643020174E-2</v>
      </c>
      <c r="I101" s="305">
        <f t="shared" si="20"/>
        <v>14.339948453608248</v>
      </c>
      <c r="J101" s="97"/>
      <c r="K101" s="307">
        <f t="shared" si="17"/>
        <v>1.0181347615880947</v>
      </c>
      <c r="L101" s="97"/>
      <c r="M101" s="97"/>
      <c r="N101" s="97"/>
      <c r="O101" t="s">
        <v>25</v>
      </c>
      <c r="R101" s="97"/>
      <c r="S101" s="97"/>
      <c r="T101" s="97"/>
      <c r="U101" s="115"/>
      <c r="V101" s="115"/>
      <c r="W101" s="97"/>
      <c r="X101" s="97"/>
      <c r="Y101" s="97"/>
    </row>
    <row r="102" spans="1:27" ht="19.5">
      <c r="A102" s="289" t="s">
        <v>5829</v>
      </c>
      <c r="B102" s="289" t="s">
        <v>4220</v>
      </c>
      <c r="C102" s="291">
        <v>1222</v>
      </c>
      <c r="D102" s="289">
        <v>150000</v>
      </c>
      <c r="E102" s="287" t="s">
        <v>4362</v>
      </c>
      <c r="F102" s="288">
        <v>16734.7</v>
      </c>
      <c r="G102" s="321">
        <f t="shared" ref="G102:G107" si="21">C102*D102*0.99114/(F102*1.0037158)</f>
        <v>10816.052251005758</v>
      </c>
      <c r="H102" s="301">
        <f t="shared" si="19"/>
        <v>7.3021924504173955E-2</v>
      </c>
      <c r="I102" s="305">
        <f t="shared" si="20"/>
        <v>13.694517184942718</v>
      </c>
      <c r="J102" s="97"/>
      <c r="K102" s="307">
        <f t="shared" si="17"/>
        <v>1.0471306333731276</v>
      </c>
      <c r="L102" s="97"/>
      <c r="M102" s="97"/>
      <c r="N102" s="97"/>
      <c r="P102" t="s">
        <v>25</v>
      </c>
      <c r="Q102" t="s">
        <v>25</v>
      </c>
      <c r="R102" s="97"/>
      <c r="S102" s="97"/>
      <c r="T102" s="97"/>
      <c r="U102" s="115">
        <v>159900000</v>
      </c>
      <c r="V102" s="115"/>
      <c r="W102" s="97"/>
      <c r="X102" s="97"/>
      <c r="Y102" s="93">
        <f>SUM(Y95:Y99)</f>
        <v>406940761</v>
      </c>
    </row>
    <row r="103" spans="1:27" ht="19.5">
      <c r="A103" s="289" t="s">
        <v>5834</v>
      </c>
      <c r="B103" s="289" t="s">
        <v>4220</v>
      </c>
      <c r="C103" s="291">
        <v>1303.0999999999999</v>
      </c>
      <c r="D103" s="289">
        <v>18000</v>
      </c>
      <c r="E103" s="287" t="s">
        <v>4362</v>
      </c>
      <c r="F103" s="288">
        <v>17233.599999999999</v>
      </c>
      <c r="G103" s="321">
        <f t="shared" si="21"/>
        <v>1343.997572325997</v>
      </c>
      <c r="H103" s="301">
        <f t="shared" si="19"/>
        <v>7.5613916999350106E-2</v>
      </c>
      <c r="I103" s="305">
        <f t="shared" si="20"/>
        <v>13.225078658583378</v>
      </c>
      <c r="J103" s="97" t="s">
        <v>25</v>
      </c>
      <c r="K103" s="307">
        <f t="shared" si="17"/>
        <v>1.0354960857684323</v>
      </c>
      <c r="L103" s="97"/>
      <c r="M103" s="97"/>
      <c r="N103" s="97"/>
      <c r="O103" t="s">
        <v>25</v>
      </c>
      <c r="R103" s="97"/>
      <c r="S103" s="97"/>
      <c r="T103" s="97"/>
      <c r="U103" s="115"/>
      <c r="V103" s="115"/>
      <c r="W103" s="97"/>
      <c r="X103" s="97"/>
      <c r="Y103" s="97"/>
    </row>
    <row r="104" spans="1:27" ht="19.5">
      <c r="A104" s="289" t="s">
        <v>5836</v>
      </c>
      <c r="B104" s="289" t="s">
        <v>4220</v>
      </c>
      <c r="C104" s="291">
        <v>1301</v>
      </c>
      <c r="D104" s="289">
        <v>4685</v>
      </c>
      <c r="E104" s="287" t="s">
        <v>4362</v>
      </c>
      <c r="F104" s="288">
        <v>17001</v>
      </c>
      <c r="G104" s="321">
        <f t="shared" si="21"/>
        <v>354.02723021651457</v>
      </c>
      <c r="H104" s="301">
        <f t="shared" si="19"/>
        <v>7.652491029939415E-2</v>
      </c>
      <c r="I104" s="305">
        <f t="shared" si="20"/>
        <v>13.067640276710224</v>
      </c>
      <c r="J104" s="97"/>
      <c r="K104" s="307">
        <f t="shared" si="17"/>
        <v>1.0120479580505248</v>
      </c>
      <c r="L104" s="97"/>
      <c r="M104" s="97"/>
      <c r="N104" s="97"/>
      <c r="P104" t="s">
        <v>25</v>
      </c>
      <c r="R104" s="97"/>
      <c r="S104" s="97"/>
      <c r="T104" s="97"/>
      <c r="U104" s="97"/>
      <c r="V104" s="97"/>
      <c r="W104" s="97"/>
      <c r="X104" s="97"/>
      <c r="Y104" s="97"/>
    </row>
    <row r="105" spans="1:27" ht="19.5">
      <c r="A105" s="289"/>
      <c r="B105" s="289"/>
      <c r="C105" s="291"/>
      <c r="D105" s="289"/>
      <c r="E105" s="287"/>
      <c r="F105" s="288"/>
      <c r="G105" s="321"/>
      <c r="H105" s="301"/>
      <c r="I105" s="305"/>
      <c r="J105" s="97"/>
      <c r="K105" s="307">
        <f t="shared" si="17"/>
        <v>0</v>
      </c>
      <c r="L105" s="97"/>
      <c r="M105" s="97"/>
      <c r="N105" s="97"/>
      <c r="R105" s="97"/>
      <c r="S105" s="97"/>
      <c r="T105" s="97"/>
      <c r="U105" s="97"/>
      <c r="V105" s="97"/>
      <c r="W105" s="97"/>
      <c r="X105" s="97"/>
      <c r="Y105" s="97"/>
    </row>
    <row r="106" spans="1:27" ht="19.5">
      <c r="A106" s="289"/>
      <c r="B106" s="289" t="s">
        <v>25</v>
      </c>
      <c r="C106" s="291"/>
      <c r="D106" s="289"/>
      <c r="E106" s="287"/>
      <c r="F106" s="288" t="s">
        <v>25</v>
      </c>
      <c r="G106" s="321" t="e">
        <f t="shared" si="21"/>
        <v>#VALUE!</v>
      </c>
      <c r="H106" s="301" t="e">
        <f t="shared" si="19"/>
        <v>#VALUE!</v>
      </c>
      <c r="I106" s="305" t="e">
        <f t="shared" si="20"/>
        <v>#VALUE!</v>
      </c>
      <c r="J106" s="97"/>
      <c r="K106" s="307" t="e">
        <f t="shared" si="17"/>
        <v>#VALUE!</v>
      </c>
      <c r="L106" s="97"/>
      <c r="M106" s="97"/>
      <c r="N106" s="97"/>
      <c r="P106" t="s">
        <v>25</v>
      </c>
    </row>
    <row r="107" spans="1:27" ht="19.5">
      <c r="A107" s="289"/>
      <c r="B107" s="289"/>
      <c r="C107" s="291"/>
      <c r="D107" s="289"/>
      <c r="E107" s="287"/>
      <c r="F107" s="288"/>
      <c r="G107" s="321" t="e">
        <f t="shared" si="21"/>
        <v>#DIV/0!</v>
      </c>
      <c r="H107" s="301" t="e">
        <f t="shared" si="19"/>
        <v>#DIV/0!</v>
      </c>
      <c r="I107" s="305" t="e">
        <f t="shared" si="20"/>
        <v>#DIV/0!</v>
      </c>
      <c r="J107" s="97"/>
      <c r="K107" s="307" t="e">
        <f t="shared" ref="K107" si="22">H107/H106</f>
        <v>#DIV/0!</v>
      </c>
      <c r="L107" s="97" t="s">
        <v>25</v>
      </c>
      <c r="M107" s="97"/>
      <c r="N107" s="97"/>
    </row>
    <row r="108" spans="1:27">
      <c r="A108" s="300"/>
      <c r="B108" s="300"/>
      <c r="C108" s="300"/>
      <c r="D108" s="300"/>
      <c r="E108" s="300"/>
      <c r="F108" s="300"/>
      <c r="G108" s="300"/>
      <c r="H108" s="300"/>
      <c r="I108" s="300"/>
      <c r="J108" s="312"/>
      <c r="K108" s="312"/>
      <c r="L108" s="313" t="s">
        <v>5497</v>
      </c>
      <c r="M108" s="297"/>
      <c r="N108" s="97">
        <f>1/M109</f>
        <v>-0.43858281448193215</v>
      </c>
      <c r="O108" t="s">
        <v>25</v>
      </c>
      <c r="R108" s="97" t="s">
        <v>744</v>
      </c>
      <c r="S108" s="97"/>
      <c r="T108" s="97"/>
      <c r="U108" s="97"/>
      <c r="V108" s="97"/>
      <c r="W108" s="97" t="s">
        <v>1220</v>
      </c>
      <c r="X108" s="97" t="s">
        <v>926</v>
      </c>
      <c r="Y108" s="67" t="s">
        <v>5456</v>
      </c>
      <c r="Z108" t="s">
        <v>25</v>
      </c>
    </row>
    <row r="109" spans="1:27" ht="18.75">
      <c r="A109" s="289" t="s">
        <v>5503</v>
      </c>
      <c r="B109" s="289" t="s">
        <v>4220</v>
      </c>
      <c r="C109" s="315">
        <f>C112</f>
        <v>1297</v>
      </c>
      <c r="D109" s="289">
        <v>1</v>
      </c>
      <c r="E109" s="287" t="s">
        <v>4362</v>
      </c>
      <c r="F109" s="314">
        <f>C113</f>
        <v>17000</v>
      </c>
      <c r="G109" s="289">
        <f t="shared" ref="G109" si="23">C109*D109*0.99114/(F109*1.0037158)</f>
        <v>7.5338210043825043E-2</v>
      </c>
      <c r="H109" s="290">
        <f>C109/F109</f>
        <v>7.6294117647058818E-2</v>
      </c>
      <c r="I109" s="290">
        <f>F109/C109</f>
        <v>13.107170393215112</v>
      </c>
      <c r="J109" s="97"/>
      <c r="K109" s="308">
        <f>H109/H104</f>
        <v>0.99698408464077404</v>
      </c>
      <c r="L109" s="309">
        <f>(1/K109-1.0256)*100</f>
        <v>-2.2574961380338765</v>
      </c>
      <c r="M109" s="97">
        <f>L109*1.01</f>
        <v>-2.2800710994142155</v>
      </c>
      <c r="N109" s="97">
        <f t="shared" ref="L109:N123" si="24">1/M110</f>
        <v>-0.43424041037815064</v>
      </c>
      <c r="R109" s="97"/>
      <c r="S109" s="97" t="s">
        <v>4362</v>
      </c>
      <c r="T109" s="97">
        <v>4279</v>
      </c>
      <c r="U109" s="115">
        <v>32796123</v>
      </c>
      <c r="V109" s="115">
        <f>U109/T109</f>
        <v>7664.436316896471</v>
      </c>
      <c r="W109" s="115">
        <f>V109*1.01</f>
        <v>7741.0806800654354</v>
      </c>
      <c r="X109" s="97">
        <f>X95</f>
        <v>17250</v>
      </c>
      <c r="Y109" s="97">
        <f>T109*X109</f>
        <v>73812750</v>
      </c>
    </row>
    <row r="110" spans="1:27">
      <c r="A110" s="289"/>
      <c r="B110" s="94"/>
      <c r="C110" s="94"/>
      <c r="D110" s="94"/>
      <c r="E110" s="94"/>
      <c r="F110" s="94"/>
      <c r="G110" s="94"/>
      <c r="H110" s="94"/>
      <c r="I110" s="94"/>
      <c r="J110" s="94"/>
      <c r="K110" s="94"/>
      <c r="L110" s="94"/>
      <c r="M110" s="97">
        <f>M109*1.01</f>
        <v>-2.3028718104083579</v>
      </c>
      <c r="N110" s="97">
        <f t="shared" si="24"/>
        <v>-0.42994100037440652</v>
      </c>
      <c r="R110" s="97"/>
      <c r="S110" s="97" t="s">
        <v>4375</v>
      </c>
      <c r="T110" s="97">
        <v>70500</v>
      </c>
      <c r="U110" s="115">
        <v>100609967</v>
      </c>
      <c r="V110" s="115">
        <f>U110/T110</f>
        <v>1427.0917304964539</v>
      </c>
      <c r="W110" s="115">
        <f>V110*1.01</f>
        <v>1441.3626478014185</v>
      </c>
      <c r="X110" s="97">
        <f>X97</f>
        <v>2600</v>
      </c>
      <c r="Y110" s="97">
        <f>T110*X110</f>
        <v>183300000</v>
      </c>
    </row>
    <row r="111" spans="1:27">
      <c r="A111" s="85"/>
      <c r="B111" s="94"/>
      <c r="C111" s="94"/>
      <c r="D111" s="94" t="s">
        <v>25</v>
      </c>
      <c r="E111" s="94"/>
      <c r="F111" s="94"/>
      <c r="G111" s="94"/>
      <c r="H111" s="94"/>
      <c r="I111" s="94"/>
      <c r="J111" s="94"/>
      <c r="K111" s="94"/>
      <c r="L111" s="94"/>
      <c r="M111" s="97">
        <f t="shared" ref="K111:M124" si="25">M110*1.01</f>
        <v>-2.3259005285124417</v>
      </c>
      <c r="N111" s="97">
        <f t="shared" si="24"/>
        <v>-0.42568415878654114</v>
      </c>
      <c r="R111" s="97"/>
      <c r="S111" s="97" t="s">
        <v>4220</v>
      </c>
      <c r="T111" s="97">
        <v>12936</v>
      </c>
      <c r="U111" s="115">
        <v>6322162</v>
      </c>
      <c r="V111" s="115">
        <f>U111/T111</f>
        <v>488.72619047619048</v>
      </c>
      <c r="W111" s="115">
        <f>V111*1.01</f>
        <v>493.61345238095237</v>
      </c>
      <c r="X111" s="97">
        <f>X96</f>
        <v>1300</v>
      </c>
      <c r="Y111" s="97">
        <f>T111*X111</f>
        <v>16816800</v>
      </c>
    </row>
    <row r="112" spans="1:27" ht="21">
      <c r="B112" t="s">
        <v>4220</v>
      </c>
      <c r="C112" s="311">
        <v>1297</v>
      </c>
      <c r="D112" t="s">
        <v>25</v>
      </c>
      <c r="E112" s="94"/>
      <c r="F112">
        <v>1291.5</v>
      </c>
      <c r="G112">
        <f>F112/0.99114</f>
        <v>1303.044978509595</v>
      </c>
      <c r="I112">
        <v>17631</v>
      </c>
      <c r="J112">
        <v>1446</v>
      </c>
      <c r="M112" s="97">
        <f t="shared" si="25"/>
        <v>-2.3491595337975659</v>
      </c>
      <c r="N112" s="97">
        <f t="shared" si="24"/>
        <v>-0.42146946414509023</v>
      </c>
      <c r="R112" s="97"/>
      <c r="S112" s="97" t="s">
        <v>5332</v>
      </c>
      <c r="T112" s="97">
        <v>4687</v>
      </c>
      <c r="U112" s="115">
        <v>1911597</v>
      </c>
      <c r="V112" s="115">
        <f>U112/T112</f>
        <v>407.85086409216984</v>
      </c>
      <c r="W112" s="115">
        <f>V112*1.01</f>
        <v>411.92937273309155</v>
      </c>
      <c r="X112" s="97" t="e">
        <f>X98</f>
        <v>#REF!</v>
      </c>
      <c r="Y112" s="97" t="e">
        <f>T112*X112</f>
        <v>#REF!</v>
      </c>
    </row>
    <row r="113" spans="1:25" ht="21">
      <c r="B113" t="s">
        <v>4362</v>
      </c>
      <c r="C113" s="310">
        <v>17000</v>
      </c>
      <c r="E113" s="94"/>
      <c r="F113">
        <v>17297.8</v>
      </c>
      <c r="G113" s="94">
        <f t="shared" ref="G113" si="26">F113/1.0037158</f>
        <v>17233.762784246297</v>
      </c>
      <c r="I113" s="94">
        <f>I112*J113/J112</f>
        <v>6230.5954356846469</v>
      </c>
      <c r="J113">
        <v>511</v>
      </c>
      <c r="M113" s="97">
        <f t="shared" si="25"/>
        <v>-2.3726511291355417</v>
      </c>
      <c r="N113" s="97">
        <f t="shared" si="24"/>
        <v>-0.41729649915355466</v>
      </c>
      <c r="R113" s="97" t="s">
        <v>5431</v>
      </c>
      <c r="S113" s="97" t="s">
        <v>4520</v>
      </c>
      <c r="T113" s="97">
        <v>0</v>
      </c>
      <c r="U113" s="115">
        <v>180438</v>
      </c>
      <c r="V113" s="115"/>
      <c r="W113" s="115"/>
      <c r="X113" s="97">
        <f>X99</f>
        <v>1500</v>
      </c>
      <c r="Y113" s="93">
        <f>U113</f>
        <v>180438</v>
      </c>
    </row>
    <row r="114" spans="1:25">
      <c r="A114" s="94"/>
      <c r="B114" t="s">
        <v>4358</v>
      </c>
      <c r="C114" s="318">
        <v>15158</v>
      </c>
      <c r="F114">
        <v>140665</v>
      </c>
      <c r="G114" s="94">
        <f>F114*0.99114/1.0037158</f>
        <v>138902.5739158435</v>
      </c>
      <c r="H114" s="94"/>
      <c r="I114">
        <f>I112-I113</f>
        <v>11400.404564315353</v>
      </c>
      <c r="J114">
        <f>J112-J113</f>
        <v>935</v>
      </c>
      <c r="K114" t="s">
        <v>25</v>
      </c>
      <c r="L114" t="s">
        <v>25</v>
      </c>
      <c r="M114" s="97">
        <f t="shared" si="25"/>
        <v>-2.396377640426897</v>
      </c>
      <c r="N114" s="97">
        <f t="shared" si="24"/>
        <v>-0.4131648506470838</v>
      </c>
      <c r="R114" s="97"/>
      <c r="S114" s="97"/>
      <c r="T114" s="97"/>
      <c r="U114" s="115"/>
      <c r="V114" s="115"/>
      <c r="W114" s="115"/>
      <c r="X114" s="97"/>
      <c r="Y114" s="97"/>
    </row>
    <row r="115" spans="1:25" ht="27" customHeight="1">
      <c r="A115" s="94"/>
      <c r="G115" s="94"/>
      <c r="H115" s="94"/>
      <c r="J115" t="s">
        <v>25</v>
      </c>
      <c r="L115" t="s">
        <v>25</v>
      </c>
      <c r="M115" s="97">
        <f t="shared" si="25"/>
        <v>-2.4203414168311661</v>
      </c>
      <c r="N115" s="97">
        <f t="shared" si="24"/>
        <v>-0.40907410955156814</v>
      </c>
      <c r="R115" s="97"/>
      <c r="S115" s="97"/>
      <c r="T115" s="97"/>
      <c r="U115" s="115">
        <v>141800000</v>
      </c>
      <c r="V115" s="115"/>
      <c r="W115" s="115"/>
      <c r="X115" s="97"/>
      <c r="Y115" s="93" t="e">
        <f>SUM(Y109:Y113)</f>
        <v>#REF!</v>
      </c>
    </row>
    <row r="116" spans="1:25">
      <c r="B116" s="94"/>
      <c r="C116" s="94"/>
      <c r="D116" s="94"/>
      <c r="E116" s="94"/>
      <c r="F116" s="94"/>
      <c r="G116" s="94"/>
      <c r="H116" s="94"/>
      <c r="M116" s="97">
        <f t="shared" si="25"/>
        <v>-2.4445448309994777</v>
      </c>
      <c r="N116" s="97">
        <f>1/K117</f>
        <v>-0.40502387084313674</v>
      </c>
    </row>
    <row r="117" spans="1:25">
      <c r="A117" s="97" t="s">
        <v>5775</v>
      </c>
      <c r="B117" s="97"/>
      <c r="C117" s="97" t="s">
        <v>5774</v>
      </c>
      <c r="D117" s="97" t="s">
        <v>5791</v>
      </c>
      <c r="E117" s="97" t="s">
        <v>5776</v>
      </c>
      <c r="F117" s="97" t="s">
        <v>5777</v>
      </c>
      <c r="G117" s="324" t="s">
        <v>5779</v>
      </c>
      <c r="K117" s="97">
        <f>M116*1.01</f>
        <v>-2.4689902793094727</v>
      </c>
      <c r="L117" s="97">
        <f>1/K118</f>
        <v>-0.40101373350805614</v>
      </c>
    </row>
    <row r="118" spans="1:25">
      <c r="A118" s="97">
        <f>C114/C112</f>
        <v>11.686969930609099</v>
      </c>
      <c r="B118" s="97"/>
      <c r="C118" s="97">
        <v>10.73</v>
      </c>
      <c r="D118" s="97">
        <v>15.023568024865435</v>
      </c>
      <c r="E118" s="97">
        <v>10</v>
      </c>
      <c r="F118" s="97">
        <v>12.563433434222304</v>
      </c>
      <c r="G118" s="94"/>
      <c r="H118" s="94"/>
      <c r="K118" s="97">
        <f>K117*1.01</f>
        <v>-2.4936801821025676</v>
      </c>
      <c r="L118" s="97">
        <f t="shared" si="24"/>
        <v>-0.39704330050302589</v>
      </c>
      <c r="Q118" t="s">
        <v>25</v>
      </c>
      <c r="R118" t="s">
        <v>25</v>
      </c>
      <c r="W118" t="s">
        <v>5457</v>
      </c>
      <c r="X118" s="112" t="e">
        <f>Y102+Y115-U102-U115</f>
        <v>#REF!</v>
      </c>
    </row>
    <row r="119" spans="1:25">
      <c r="A119" s="60">
        <f>F135/A118</f>
        <v>1.1121354450244441</v>
      </c>
      <c r="B119" s="97"/>
      <c r="C119" s="97">
        <f>C118/1.001</f>
        <v>10.719280719280722</v>
      </c>
      <c r="D119" s="97">
        <f t="shared" ref="D119:D169" si="27">D118*1.002</f>
        <v>15.053615160915166</v>
      </c>
      <c r="E119" s="97">
        <f>E118/1.001</f>
        <v>9.990009990009991</v>
      </c>
      <c r="F119" s="97">
        <f t="shared" ref="F119:F153" si="28">F118*1.002</f>
        <v>12.588560301090748</v>
      </c>
      <c r="G119" s="94"/>
      <c r="H119" s="94"/>
      <c r="I119" t="s">
        <v>25</v>
      </c>
      <c r="K119" s="97">
        <f t="shared" si="25"/>
        <v>-2.5186169839235935</v>
      </c>
      <c r="L119" s="97">
        <f t="shared" si="24"/>
        <v>-0.39311217871586718</v>
      </c>
      <c r="R119" t="s">
        <v>25</v>
      </c>
    </row>
    <row r="120" spans="1:25">
      <c r="A120" s="97"/>
      <c r="B120" s="97"/>
      <c r="C120" s="97">
        <f t="shared" ref="C120:C183" si="29">C119/1.001</f>
        <v>10.708572147133589</v>
      </c>
      <c r="D120" s="23">
        <f t="shared" si="27"/>
        <v>15.083722391236996</v>
      </c>
      <c r="E120" s="97">
        <f t="shared" ref="E120:E183" si="30">E119/1.001</f>
        <v>9.9800299600499418</v>
      </c>
      <c r="F120" s="97">
        <f t="shared" si="28"/>
        <v>12.61373742169293</v>
      </c>
      <c r="G120" s="94"/>
      <c r="H120" s="94"/>
      <c r="K120" s="97">
        <f t="shared" si="25"/>
        <v>-2.5438031537628296</v>
      </c>
      <c r="L120" s="97">
        <f t="shared" si="24"/>
        <v>-0.38921997892660115</v>
      </c>
      <c r="Q120" t="s">
        <v>25</v>
      </c>
      <c r="R120" t="s">
        <v>25</v>
      </c>
    </row>
    <row r="121" spans="1:25">
      <c r="A121" s="97" t="s">
        <v>5778</v>
      </c>
      <c r="B121" s="97"/>
      <c r="C121" s="97">
        <f t="shared" si="29"/>
        <v>10.69787427286073</v>
      </c>
      <c r="D121" s="20">
        <f t="shared" si="27"/>
        <v>15.113889836019471</v>
      </c>
      <c r="E121" s="97">
        <f t="shared" si="30"/>
        <v>9.9700599001497938</v>
      </c>
      <c r="F121" s="97">
        <f t="shared" si="28"/>
        <v>12.638964896536315</v>
      </c>
      <c r="G121" s="94"/>
      <c r="H121" s="94"/>
      <c r="K121" s="97">
        <f t="shared" si="25"/>
        <v>-2.569241185300458</v>
      </c>
      <c r="L121" s="97">
        <f t="shared" si="24"/>
        <v>-0.38536631576891206</v>
      </c>
      <c r="P121" t="s">
        <v>25</v>
      </c>
      <c r="R121" t="s">
        <v>25</v>
      </c>
    </row>
    <row r="122" spans="1:25">
      <c r="A122" s="97">
        <f>C113/C112</f>
        <v>13.107170393215112</v>
      </c>
      <c r="B122" s="97"/>
      <c r="C122" s="97">
        <f t="shared" si="29"/>
        <v>10.687187085774957</v>
      </c>
      <c r="D122" s="97">
        <f t="shared" si="27"/>
        <v>15.14411761569151</v>
      </c>
      <c r="E122" s="97">
        <f t="shared" si="30"/>
        <v>9.960099800349445</v>
      </c>
      <c r="F122" s="97">
        <f t="shared" si="28"/>
        <v>12.664242826329387</v>
      </c>
      <c r="G122" s="94"/>
      <c r="H122" s="94"/>
      <c r="K122" s="97">
        <f t="shared" si="25"/>
        <v>-2.5949335971534624</v>
      </c>
      <c r="L122" s="97">
        <f t="shared" si="24"/>
        <v>-0.38155080769199212</v>
      </c>
      <c r="R122" t="s">
        <v>25</v>
      </c>
      <c r="S122" t="s">
        <v>25</v>
      </c>
    </row>
    <row r="123" spans="1:25">
      <c r="A123" s="287">
        <f>D139/A122</f>
        <v>1.1953258032272738</v>
      </c>
      <c r="B123" s="97"/>
      <c r="C123" s="97">
        <f t="shared" si="29"/>
        <v>10.676510575199758</v>
      </c>
      <c r="D123" s="97">
        <f t="shared" si="27"/>
        <v>15.174405850922893</v>
      </c>
      <c r="E123" s="97">
        <f t="shared" si="30"/>
        <v>9.9501496506987479</v>
      </c>
      <c r="F123" s="97">
        <f t="shared" si="28"/>
        <v>12.689571311982046</v>
      </c>
      <c r="G123" s="94"/>
      <c r="H123" s="94"/>
      <c r="K123" s="97">
        <f t="shared" si="25"/>
        <v>-2.6208829331249972</v>
      </c>
      <c r="L123" s="97">
        <f t="shared" si="24"/>
        <v>-0.37777307692276446</v>
      </c>
      <c r="R123" t="s">
        <v>25</v>
      </c>
      <c r="S123" t="s">
        <v>25</v>
      </c>
    </row>
    <row r="124" spans="1:25">
      <c r="A124" s="97"/>
      <c r="B124" s="97"/>
      <c r="C124" s="97">
        <f t="shared" si="29"/>
        <v>10.66584473046929</v>
      </c>
      <c r="D124" s="97">
        <f t="shared" si="27"/>
        <v>15.204754662624739</v>
      </c>
      <c r="E124" s="97">
        <f t="shared" si="30"/>
        <v>9.9402094412574922</v>
      </c>
      <c r="F124" s="97">
        <f t="shared" si="28"/>
        <v>12.71495045460601</v>
      </c>
      <c r="G124" s="94"/>
      <c r="H124" s="94"/>
      <c r="K124" s="97">
        <f t="shared" si="25"/>
        <v>-2.6470917624562471</v>
      </c>
      <c r="S124" t="s">
        <v>25</v>
      </c>
    </row>
    <row r="125" spans="1:25">
      <c r="A125" s="97"/>
      <c r="B125" s="97"/>
      <c r="C125" s="97">
        <f t="shared" si="29"/>
        <v>10.655189540928363</v>
      </c>
      <c r="D125" s="97">
        <f t="shared" si="27"/>
        <v>15.235164171949988</v>
      </c>
      <c r="E125" s="97">
        <f t="shared" si="30"/>
        <v>9.9302791620953972</v>
      </c>
      <c r="F125" s="23">
        <f t="shared" si="28"/>
        <v>12.740380355515221</v>
      </c>
      <c r="G125" s="94"/>
      <c r="H125" s="94" t="s">
        <v>5601</v>
      </c>
      <c r="S125" t="s">
        <v>25</v>
      </c>
    </row>
    <row r="126" spans="1:25">
      <c r="A126" s="97"/>
      <c r="B126" s="97"/>
      <c r="C126" s="97">
        <f t="shared" si="29"/>
        <v>10.644544995932431</v>
      </c>
      <c r="D126" s="97">
        <f t="shared" si="27"/>
        <v>15.265634500293888</v>
      </c>
      <c r="E126" s="97">
        <f t="shared" si="30"/>
        <v>9.9203588032921068</v>
      </c>
      <c r="F126" s="97">
        <f t="shared" si="28"/>
        <v>12.765861116226251</v>
      </c>
      <c r="G126" s="94"/>
      <c r="H126" s="94" t="s">
        <v>5602</v>
      </c>
      <c r="R126" t="s">
        <v>25</v>
      </c>
      <c r="S126" t="s">
        <v>25</v>
      </c>
    </row>
    <row r="127" spans="1:25">
      <c r="A127" s="97"/>
      <c r="B127" s="97"/>
      <c r="C127" s="97">
        <f t="shared" si="29"/>
        <v>10.633911084847584</v>
      </c>
      <c r="D127" s="97">
        <f t="shared" si="27"/>
        <v>15.296165769294475</v>
      </c>
      <c r="E127" s="97">
        <f t="shared" si="30"/>
        <v>9.91044835493717</v>
      </c>
      <c r="F127" s="97">
        <f t="shared" si="28"/>
        <v>12.791392838458703</v>
      </c>
      <c r="G127" s="94"/>
      <c r="H127" s="94" t="s">
        <v>5603</v>
      </c>
      <c r="K127" t="s">
        <v>25</v>
      </c>
      <c r="R127" t="s">
        <v>25</v>
      </c>
    </row>
    <row r="128" spans="1:25">
      <c r="A128" s="97"/>
      <c r="B128" s="97"/>
      <c r="C128" s="97">
        <f t="shared" si="29"/>
        <v>10.623287797050535</v>
      </c>
      <c r="D128" s="97">
        <f t="shared" si="27"/>
        <v>15.326758100833064</v>
      </c>
      <c r="E128" s="97">
        <f t="shared" si="30"/>
        <v>9.9005478071300406</v>
      </c>
      <c r="F128" s="97">
        <f t="shared" si="28"/>
        <v>12.816975624135621</v>
      </c>
      <c r="G128" s="94"/>
      <c r="H128" s="94" t="s">
        <v>5604</v>
      </c>
    </row>
    <row r="129" spans="1:20">
      <c r="A129" s="97"/>
      <c r="B129" s="97"/>
      <c r="C129" s="97">
        <f t="shared" si="29"/>
        <v>10.612675121928607</v>
      </c>
      <c r="D129" s="97">
        <f t="shared" si="27"/>
        <v>15.35741161703473</v>
      </c>
      <c r="E129" s="97">
        <f t="shared" si="30"/>
        <v>9.8906571499800613</v>
      </c>
      <c r="F129" s="97">
        <f t="shared" si="28"/>
        <v>12.842609575383891</v>
      </c>
      <c r="G129" s="94"/>
      <c r="H129" s="94" t="s">
        <v>5605</v>
      </c>
      <c r="S129" t="s">
        <v>25</v>
      </c>
      <c r="T129" t="s">
        <v>25</v>
      </c>
    </row>
    <row r="130" spans="1:20">
      <c r="A130" s="97"/>
      <c r="B130" s="97"/>
      <c r="C130" s="97">
        <f t="shared" si="29"/>
        <v>10.602073048879728</v>
      </c>
      <c r="D130" s="23">
        <f t="shared" si="27"/>
        <v>15.388126440268799</v>
      </c>
      <c r="E130" s="97">
        <f t="shared" si="30"/>
        <v>9.8807763736064551</v>
      </c>
      <c r="F130" s="97">
        <f t="shared" si="28"/>
        <v>12.868294794534659</v>
      </c>
      <c r="G130" s="94"/>
      <c r="H130" s="94" t="s">
        <v>5606</v>
      </c>
      <c r="R130" t="s">
        <v>25</v>
      </c>
      <c r="S130" t="s">
        <v>25</v>
      </c>
    </row>
    <row r="131" spans="1:20">
      <c r="A131" s="97"/>
      <c r="B131" s="97"/>
      <c r="C131" s="97">
        <f t="shared" si="29"/>
        <v>10.591481567312416</v>
      </c>
      <c r="D131" s="97">
        <f t="shared" si="27"/>
        <v>15.418902693149336</v>
      </c>
      <c r="E131" s="97">
        <f t="shared" si="30"/>
        <v>9.8709054681383179</v>
      </c>
      <c r="F131" s="97">
        <f t="shared" si="28"/>
        <v>12.894031384123728</v>
      </c>
      <c r="G131" s="94"/>
      <c r="H131" s="94"/>
      <c r="K131" t="s">
        <v>25</v>
      </c>
      <c r="P131" t="s">
        <v>25</v>
      </c>
      <c r="Q131" t="s">
        <v>25</v>
      </c>
    </row>
    <row r="132" spans="1:20">
      <c r="B132" s="97"/>
      <c r="C132" s="97">
        <f t="shared" si="29"/>
        <v>10.580900666645771</v>
      </c>
      <c r="D132" s="97">
        <f t="shared" si="27"/>
        <v>15.449740498535634</v>
      </c>
      <c r="E132" s="97">
        <f t="shared" si="30"/>
        <v>9.8610444237146044</v>
      </c>
      <c r="F132" s="23">
        <f t="shared" si="28"/>
        <v>12.919819446891976</v>
      </c>
      <c r="G132" s="94"/>
      <c r="H132" s="94" t="s">
        <v>25</v>
      </c>
      <c r="Q132" t="s">
        <v>25</v>
      </c>
      <c r="R132" t="s">
        <v>25</v>
      </c>
    </row>
    <row r="133" spans="1:20">
      <c r="A133" s="97"/>
      <c r="B133" s="97"/>
      <c r="C133" s="97">
        <f t="shared" si="29"/>
        <v>10.570330336309462</v>
      </c>
      <c r="D133" s="97">
        <f t="shared" si="27"/>
        <v>15.480639979532706</v>
      </c>
      <c r="E133" s="97">
        <f t="shared" si="30"/>
        <v>9.851193230484121</v>
      </c>
      <c r="F133" s="23">
        <f t="shared" si="28"/>
        <v>12.94565908578576</v>
      </c>
      <c r="G133" s="94"/>
      <c r="H133" s="94"/>
    </row>
    <row r="134" spans="1:20">
      <c r="A134" s="97"/>
      <c r="B134" s="97"/>
      <c r="C134" s="97">
        <f t="shared" si="29"/>
        <v>10.559770565743719</v>
      </c>
      <c r="D134" s="97">
        <f t="shared" si="27"/>
        <v>15.511601259491771</v>
      </c>
      <c r="E134" s="97">
        <f t="shared" si="30"/>
        <v>9.8413518786055167</v>
      </c>
      <c r="F134" s="97">
        <f t="shared" si="28"/>
        <v>12.971550403957332</v>
      </c>
      <c r="G134" s="94" t="s">
        <v>25</v>
      </c>
      <c r="H134" s="94"/>
      <c r="P134" t="s">
        <v>25</v>
      </c>
    </row>
    <row r="135" spans="1:20">
      <c r="A135" s="97"/>
      <c r="B135" s="97"/>
      <c r="C135" s="97">
        <f t="shared" si="29"/>
        <v>10.549221344399321</v>
      </c>
      <c r="D135" s="97">
        <f t="shared" si="27"/>
        <v>15.542624462010755</v>
      </c>
      <c r="E135" s="97">
        <f t="shared" si="30"/>
        <v>9.8315203582472712</v>
      </c>
      <c r="F135" s="23">
        <f t="shared" si="28"/>
        <v>12.997493504765247</v>
      </c>
    </row>
    <row r="136" spans="1:20">
      <c r="A136" s="97"/>
      <c r="B136" s="97"/>
      <c r="C136" s="97">
        <f t="shared" si="29"/>
        <v>10.538682661737584</v>
      </c>
      <c r="D136" s="97">
        <f t="shared" si="27"/>
        <v>15.573709710934777</v>
      </c>
      <c r="E136" s="97">
        <f t="shared" si="30"/>
        <v>9.8216986595876854</v>
      </c>
      <c r="F136" s="97">
        <f t="shared" si="28"/>
        <v>13.023488491774778</v>
      </c>
      <c r="H136" t="s">
        <v>25</v>
      </c>
      <c r="P136" t="s">
        <v>25</v>
      </c>
      <c r="Q136" t="s">
        <v>25</v>
      </c>
      <c r="R136" t="s">
        <v>25</v>
      </c>
    </row>
    <row r="137" spans="1:20">
      <c r="A137" s="97"/>
      <c r="B137" s="97"/>
      <c r="C137" s="97">
        <f t="shared" si="29"/>
        <v>10.528154507230354</v>
      </c>
      <c r="D137" s="97">
        <f t="shared" si="27"/>
        <v>15.604857130356647</v>
      </c>
      <c r="E137" s="97">
        <f t="shared" si="30"/>
        <v>9.8118867728148711</v>
      </c>
      <c r="F137" s="97">
        <f t="shared" si="28"/>
        <v>13.049535468758327</v>
      </c>
      <c r="I137" t="s">
        <v>25</v>
      </c>
    </row>
    <row r="138" spans="1:20">
      <c r="A138" s="97"/>
      <c r="B138" s="97"/>
      <c r="C138" s="97">
        <f t="shared" si="29"/>
        <v>10.517636870359995</v>
      </c>
      <c r="D138" s="97">
        <f t="shared" si="27"/>
        <v>15.636066844617361</v>
      </c>
      <c r="E138" s="97">
        <f t="shared" si="30"/>
        <v>9.8020846881267456</v>
      </c>
      <c r="F138" s="97">
        <f t="shared" si="28"/>
        <v>13.075634539695844</v>
      </c>
      <c r="P138" t="s">
        <v>25</v>
      </c>
      <c r="Q138" t="s">
        <v>25</v>
      </c>
    </row>
    <row r="139" spans="1:20">
      <c r="A139" s="97"/>
      <c r="B139" s="97"/>
      <c r="C139" s="97">
        <f t="shared" si="29"/>
        <v>10.507129740619376</v>
      </c>
      <c r="D139" s="23">
        <f t="shared" si="27"/>
        <v>15.667338978306596</v>
      </c>
      <c r="E139" s="97">
        <f t="shared" si="30"/>
        <v>9.7922923957310157</v>
      </c>
      <c r="F139" s="97">
        <f t="shared" si="28"/>
        <v>13.101785808775237</v>
      </c>
      <c r="G139" t="s">
        <v>25</v>
      </c>
      <c r="H139" t="s">
        <v>25</v>
      </c>
    </row>
    <row r="140" spans="1:20">
      <c r="A140" s="97"/>
      <c r="B140" s="97"/>
      <c r="C140" s="97">
        <f t="shared" si="29"/>
        <v>10.496633107511865</v>
      </c>
      <c r="D140" s="97">
        <f t="shared" si="27"/>
        <v>15.698673656263209</v>
      </c>
      <c r="E140" s="97">
        <f t="shared" si="30"/>
        <v>9.7825098858451724</v>
      </c>
      <c r="F140" s="97">
        <f t="shared" si="28"/>
        <v>13.127989380392787</v>
      </c>
      <c r="H140" t="s">
        <v>25</v>
      </c>
    </row>
    <row r="141" spans="1:20">
      <c r="A141" s="97"/>
      <c r="B141" s="97"/>
      <c r="C141" s="97">
        <f t="shared" si="29"/>
        <v>10.486146960551315</v>
      </c>
      <c r="D141" s="97">
        <f t="shared" si="27"/>
        <v>15.730071003575736</v>
      </c>
      <c r="E141" s="97">
        <f t="shared" si="30"/>
        <v>9.7727371486964767</v>
      </c>
      <c r="F141" s="97">
        <f t="shared" si="28"/>
        <v>13.154245359153572</v>
      </c>
      <c r="N141" t="s">
        <v>25</v>
      </c>
    </row>
    <row r="142" spans="1:20">
      <c r="A142" s="97"/>
      <c r="B142" s="97"/>
      <c r="C142" s="97">
        <f t="shared" si="29"/>
        <v>10.475671289262054</v>
      </c>
      <c r="D142" s="97">
        <f t="shared" si="27"/>
        <v>15.761531145582888</v>
      </c>
      <c r="E142" s="97">
        <f t="shared" si="30"/>
        <v>9.7629741745219558</v>
      </c>
      <c r="F142" s="97">
        <f t="shared" si="28"/>
        <v>13.180553849871879</v>
      </c>
    </row>
    <row r="143" spans="1:20">
      <c r="A143" s="97"/>
      <c r="B143" s="97"/>
      <c r="C143" s="97">
        <f t="shared" si="29"/>
        <v>10.465206083178877</v>
      </c>
      <c r="D143" s="97">
        <f t="shared" si="27"/>
        <v>15.793054207874054</v>
      </c>
      <c r="E143" s="97">
        <f t="shared" si="30"/>
        <v>9.7532209535683894</v>
      </c>
      <c r="F143" s="97">
        <f t="shared" si="28"/>
        <v>13.206914957571623</v>
      </c>
    </row>
    <row r="144" spans="1:20">
      <c r="A144" s="97"/>
      <c r="B144" s="97"/>
      <c r="C144" s="97">
        <f t="shared" si="29"/>
        <v>10.454751331847032</v>
      </c>
      <c r="D144" s="97">
        <f t="shared" si="27"/>
        <v>15.824640316289802</v>
      </c>
      <c r="E144" s="97">
        <f t="shared" si="30"/>
        <v>9.7434774760922984</v>
      </c>
      <c r="F144" s="97">
        <f t="shared" si="28"/>
        <v>13.233328787486766</v>
      </c>
      <c r="N144" t="s">
        <v>25</v>
      </c>
    </row>
    <row r="145" spans="1:17">
      <c r="A145" s="97"/>
      <c r="C145" s="97">
        <f t="shared" si="29"/>
        <v>10.44430702482221</v>
      </c>
      <c r="D145" s="97">
        <f t="shared" si="27"/>
        <v>15.856289596922382</v>
      </c>
      <c r="E145" s="97">
        <f t="shared" si="30"/>
        <v>9.7337437323599403</v>
      </c>
      <c r="F145" s="97">
        <f t="shared" si="28"/>
        <v>13.259795445061739</v>
      </c>
      <c r="M145" t="s">
        <v>25</v>
      </c>
    </row>
    <row r="146" spans="1:17">
      <c r="A146" s="97"/>
      <c r="C146" s="97">
        <f t="shared" si="29"/>
        <v>10.433873151670541</v>
      </c>
      <c r="D146" s="97">
        <f t="shared" si="27"/>
        <v>15.888002176116228</v>
      </c>
      <c r="E146" s="97">
        <f t="shared" si="30"/>
        <v>9.7240197126472943</v>
      </c>
      <c r="F146" s="97">
        <f t="shared" si="28"/>
        <v>13.286315035951862</v>
      </c>
    </row>
    <row r="147" spans="1:17">
      <c r="A147" s="97"/>
      <c r="C147" s="97">
        <f t="shared" si="29"/>
        <v>10.423449701968574</v>
      </c>
      <c r="D147" s="97">
        <f t="shared" si="27"/>
        <v>15.919778180468461</v>
      </c>
      <c r="E147" s="97">
        <f t="shared" si="30"/>
        <v>9.7143054072400545</v>
      </c>
      <c r="F147" s="97">
        <f t="shared" si="28"/>
        <v>13.312887666023766</v>
      </c>
      <c r="M147" t="s">
        <v>25</v>
      </c>
    </row>
    <row r="148" spans="1:17">
      <c r="A148" s="97"/>
      <c r="C148" s="97">
        <f t="shared" si="29"/>
        <v>10.413036665303272</v>
      </c>
      <c r="D148" s="97">
        <f t="shared" si="27"/>
        <v>15.951617736829398</v>
      </c>
      <c r="E148" s="97">
        <f t="shared" si="30"/>
        <v>9.7046008064336213</v>
      </c>
      <c r="F148" s="97">
        <f t="shared" si="28"/>
        <v>13.339513441355813</v>
      </c>
    </row>
    <row r="149" spans="1:17">
      <c r="A149" s="97"/>
      <c r="C149" s="97">
        <f t="shared" si="29"/>
        <v>10.402634031272001</v>
      </c>
      <c r="D149" s="97">
        <f t="shared" si="27"/>
        <v>15.983520972303056</v>
      </c>
      <c r="E149" s="97">
        <f t="shared" si="30"/>
        <v>9.6949059005330884</v>
      </c>
      <c r="F149" s="97">
        <f t="shared" si="28"/>
        <v>13.366192468238523</v>
      </c>
    </row>
    <row r="150" spans="1:17">
      <c r="A150" s="97"/>
      <c r="C150" s="97">
        <f t="shared" si="29"/>
        <v>10.392241789482519</v>
      </c>
      <c r="D150" s="97">
        <f t="shared" si="27"/>
        <v>16.015488014247662</v>
      </c>
      <c r="E150" s="97">
        <f t="shared" si="30"/>
        <v>9.6852206798532361</v>
      </c>
      <c r="F150" s="97">
        <f t="shared" si="28"/>
        <v>13.392924853175</v>
      </c>
      <c r="P150" t="s">
        <v>25</v>
      </c>
    </row>
    <row r="151" spans="1:17">
      <c r="A151" s="97"/>
      <c r="C151" s="97">
        <f t="shared" si="29"/>
        <v>10.381859929552967</v>
      </c>
      <c r="D151" s="97">
        <f t="shared" si="27"/>
        <v>16.047518990276156</v>
      </c>
      <c r="E151" s="97">
        <f t="shared" si="30"/>
        <v>9.6755451347185186</v>
      </c>
      <c r="F151" s="97">
        <f t="shared" si="28"/>
        <v>13.41971070288135</v>
      </c>
    </row>
    <row r="152" spans="1:17">
      <c r="A152" s="97"/>
      <c r="C152" s="97">
        <f t="shared" si="29"/>
        <v>10.371488441111856</v>
      </c>
      <c r="D152" s="97">
        <f t="shared" si="27"/>
        <v>16.07961402825671</v>
      </c>
      <c r="E152" s="97">
        <f t="shared" si="30"/>
        <v>9.6658792554630573</v>
      </c>
      <c r="F152" s="97">
        <f t="shared" si="28"/>
        <v>13.446550124287112</v>
      </c>
      <c r="O152" t="s">
        <v>25</v>
      </c>
    </row>
    <row r="153" spans="1:17">
      <c r="A153" s="97"/>
      <c r="C153" s="97">
        <f t="shared" si="29"/>
        <v>10.361127313798059</v>
      </c>
      <c r="D153" s="97">
        <f t="shared" si="27"/>
        <v>16.111773256313224</v>
      </c>
      <c r="E153" s="97">
        <f t="shared" si="30"/>
        <v>9.6562230324306277</v>
      </c>
      <c r="F153" s="23">
        <f t="shared" si="28"/>
        <v>13.473443224535687</v>
      </c>
    </row>
    <row r="154" spans="1:17">
      <c r="A154" s="97"/>
      <c r="C154" s="97">
        <f t="shared" si="29"/>
        <v>10.350776537260799</v>
      </c>
      <c r="D154" s="97">
        <f t="shared" si="27"/>
        <v>16.14399680282585</v>
      </c>
      <c r="E154" s="97">
        <f t="shared" si="30"/>
        <v>9.646576455974655</v>
      </c>
      <c r="F154" s="97">
        <f t="shared" ref="F154:F171" si="31">F153*1.002</f>
        <v>13.500390110984759</v>
      </c>
    </row>
    <row r="155" spans="1:17">
      <c r="A155" s="97"/>
      <c r="C155" s="97">
        <f t="shared" si="29"/>
        <v>10.340436101159641</v>
      </c>
      <c r="D155" s="97">
        <f t="shared" si="27"/>
        <v>16.176284796431503</v>
      </c>
      <c r="E155" s="97">
        <f t="shared" si="30"/>
        <v>9.636939516458197</v>
      </c>
      <c r="F155" s="97">
        <f t="shared" si="31"/>
        <v>13.527390891206728</v>
      </c>
      <c r="Q155" t="s">
        <v>25</v>
      </c>
    </row>
    <row r="156" spans="1:17">
      <c r="A156" s="97"/>
      <c r="C156" s="97">
        <f t="shared" si="29"/>
        <v>10.330105995164478</v>
      </c>
      <c r="D156" s="97">
        <f t="shared" si="27"/>
        <v>16.208637366024366</v>
      </c>
      <c r="E156" s="97">
        <f t="shared" si="30"/>
        <v>9.6273122042539434</v>
      </c>
      <c r="F156" s="97">
        <f t="shared" si="31"/>
        <v>13.554445672989141</v>
      </c>
      <c r="Q156" t="s">
        <v>25</v>
      </c>
    </row>
    <row r="157" spans="1:17">
      <c r="A157" s="97"/>
      <c r="C157" s="97">
        <f t="shared" si="29"/>
        <v>10.319786208955524</v>
      </c>
      <c r="D157" s="97">
        <f t="shared" si="27"/>
        <v>16.241054640756413</v>
      </c>
      <c r="E157" s="97">
        <f t="shared" si="30"/>
        <v>9.6176945097442008</v>
      </c>
      <c r="F157" s="97">
        <f t="shared" si="31"/>
        <v>13.58155456433512</v>
      </c>
      <c r="O157" t="s">
        <v>25</v>
      </c>
    </row>
    <row r="158" spans="1:17">
      <c r="A158" s="97"/>
      <c r="C158" s="97">
        <f t="shared" si="29"/>
        <v>10.309476732223301</v>
      </c>
      <c r="D158" s="97">
        <f t="shared" si="27"/>
        <v>16.273536750037927</v>
      </c>
      <c r="E158" s="97">
        <f t="shared" si="30"/>
        <v>9.6080864233208807</v>
      </c>
      <c r="F158" s="97">
        <f t="shared" si="31"/>
        <v>13.60871767346379</v>
      </c>
      <c r="P158" t="s">
        <v>25</v>
      </c>
    </row>
    <row r="159" spans="1:17">
      <c r="A159" s="97"/>
      <c r="C159" s="97">
        <f t="shared" si="29"/>
        <v>10.299177554668633</v>
      </c>
      <c r="D159" s="97">
        <f t="shared" si="27"/>
        <v>16.306083823538003</v>
      </c>
      <c r="E159" s="97">
        <f t="shared" si="30"/>
        <v>9.5984879353854957</v>
      </c>
      <c r="F159" s="97">
        <f t="shared" si="31"/>
        <v>13.635935108810717</v>
      </c>
      <c r="P159" t="s">
        <v>25</v>
      </c>
    </row>
    <row r="160" spans="1:17">
      <c r="A160" s="97"/>
      <c r="C160" s="97">
        <f t="shared" si="29"/>
        <v>10.288888666002631</v>
      </c>
      <c r="D160" s="97">
        <f t="shared" si="27"/>
        <v>16.33869599118508</v>
      </c>
      <c r="E160" s="97">
        <f t="shared" si="30"/>
        <v>9.5888990363491473</v>
      </c>
      <c r="F160" s="97">
        <f t="shared" si="31"/>
        <v>13.663206979028338</v>
      </c>
    </row>
    <row r="161" spans="1:8">
      <c r="A161" s="97"/>
      <c r="C161" s="97">
        <f t="shared" si="29"/>
        <v>10.278610055946686</v>
      </c>
      <c r="D161" s="97">
        <f t="shared" si="27"/>
        <v>16.371373383167452</v>
      </c>
      <c r="E161" s="97">
        <f t="shared" si="30"/>
        <v>9.579319716632515</v>
      </c>
      <c r="F161" s="97">
        <f t="shared" si="31"/>
        <v>13.690533392986396</v>
      </c>
    </row>
    <row r="162" spans="1:8">
      <c r="A162" s="97"/>
      <c r="C162" s="97">
        <f t="shared" si="29"/>
        <v>10.268341714232454</v>
      </c>
      <c r="D162" s="97">
        <f t="shared" si="27"/>
        <v>16.404116129933787</v>
      </c>
      <c r="E162" s="97">
        <f t="shared" si="30"/>
        <v>9.5697499666658494</v>
      </c>
      <c r="F162" s="97">
        <f t="shared" si="31"/>
        <v>13.717914459772368</v>
      </c>
    </row>
    <row r="163" spans="1:8">
      <c r="A163" s="97"/>
      <c r="C163" s="97">
        <f t="shared" si="29"/>
        <v>10.258083630601853</v>
      </c>
      <c r="D163" s="97">
        <f t="shared" si="27"/>
        <v>16.436924362193654</v>
      </c>
      <c r="E163" s="97">
        <f t="shared" si="30"/>
        <v>9.5601897768889614</v>
      </c>
      <c r="F163" s="97">
        <f t="shared" si="31"/>
        <v>13.745350288691913</v>
      </c>
      <c r="G163" t="s">
        <v>25</v>
      </c>
      <c r="H163" t="s">
        <v>25</v>
      </c>
    </row>
    <row r="164" spans="1:8">
      <c r="A164" s="97"/>
      <c r="C164" s="97">
        <f t="shared" si="29"/>
        <v>10.247835794807047</v>
      </c>
      <c r="D164" s="97">
        <f t="shared" si="27"/>
        <v>16.469798210918043</v>
      </c>
      <c r="E164" s="97">
        <f t="shared" si="30"/>
        <v>9.5506391377512116</v>
      </c>
      <c r="F164" s="97">
        <f t="shared" si="31"/>
        <v>13.772840989269296</v>
      </c>
    </row>
    <row r="165" spans="1:8">
      <c r="A165" s="97"/>
      <c r="C165" s="97">
        <f t="shared" si="29"/>
        <v>10.237598196610438</v>
      </c>
      <c r="D165" s="97">
        <f t="shared" si="27"/>
        <v>16.50273780733988</v>
      </c>
      <c r="E165" s="97">
        <f t="shared" si="30"/>
        <v>9.5410980397115015</v>
      </c>
      <c r="F165" s="97">
        <f t="shared" si="31"/>
        <v>13.800386671247836</v>
      </c>
    </row>
    <row r="166" spans="1:8">
      <c r="A166" s="97"/>
      <c r="C166" s="97">
        <f t="shared" si="29"/>
        <v>10.227370825784655</v>
      </c>
      <c r="D166" s="97">
        <f t="shared" si="27"/>
        <v>16.535743282954559</v>
      </c>
      <c r="E166" s="97">
        <f t="shared" si="30"/>
        <v>9.5315664732382643</v>
      </c>
      <c r="F166" s="97">
        <f t="shared" si="31"/>
        <v>13.827987444590331</v>
      </c>
      <c r="H166" t="s">
        <v>25</v>
      </c>
    </row>
    <row r="167" spans="1:8">
      <c r="A167" s="97"/>
      <c r="C167" s="97">
        <f t="shared" si="29"/>
        <v>10.217153672112543</v>
      </c>
      <c r="D167" s="97">
        <f t="shared" si="27"/>
        <v>16.568814769520468</v>
      </c>
      <c r="E167" s="97">
        <f t="shared" si="30"/>
        <v>9.5220444288094566</v>
      </c>
      <c r="F167" s="97">
        <f t="shared" si="31"/>
        <v>13.855643419479511</v>
      </c>
    </row>
    <row r="168" spans="1:8">
      <c r="A168" s="97"/>
      <c r="C168" s="97">
        <f t="shared" si="29"/>
        <v>10.206946725387157</v>
      </c>
      <c r="D168" s="97">
        <f t="shared" si="27"/>
        <v>16.60195239905951</v>
      </c>
      <c r="E168" s="97">
        <f t="shared" si="30"/>
        <v>9.5125318969125452</v>
      </c>
      <c r="F168" s="97">
        <f t="shared" si="31"/>
        <v>13.883354706318471</v>
      </c>
    </row>
    <row r="169" spans="1:8">
      <c r="A169" s="97"/>
      <c r="C169" s="97">
        <f t="shared" si="29"/>
        <v>10.196749975411747</v>
      </c>
      <c r="D169" s="97">
        <f t="shared" si="27"/>
        <v>16.635156303857627</v>
      </c>
      <c r="E169" s="97">
        <f t="shared" si="30"/>
        <v>9.5030288680445025</v>
      </c>
      <c r="F169" s="97">
        <f t="shared" si="31"/>
        <v>13.911121415731108</v>
      </c>
    </row>
    <row r="170" spans="1:8">
      <c r="A170" s="97"/>
      <c r="C170" s="97">
        <f t="shared" si="29"/>
        <v>10.186563411999748</v>
      </c>
      <c r="D170" s="97">
        <f t="shared" ref="D170:D172" si="32">D169*1.002</f>
        <v>16.668426616465343</v>
      </c>
      <c r="E170" s="97">
        <f t="shared" si="30"/>
        <v>9.493535332711792</v>
      </c>
      <c r="F170" s="97">
        <f t="shared" si="31"/>
        <v>13.93894365856257</v>
      </c>
      <c r="H170" t="s">
        <v>25</v>
      </c>
    </row>
    <row r="171" spans="1:8">
      <c r="A171" s="97"/>
      <c r="C171" s="97">
        <f t="shared" si="29"/>
        <v>10.176387024974774</v>
      </c>
      <c r="D171" s="97">
        <f t="shared" si="32"/>
        <v>16.701763469698275</v>
      </c>
      <c r="E171" s="97">
        <f t="shared" si="30"/>
        <v>9.4840512814303626</v>
      </c>
      <c r="F171" s="97">
        <f t="shared" si="31"/>
        <v>13.966821545879695</v>
      </c>
    </row>
    <row r="172" spans="1:8">
      <c r="A172" s="97"/>
      <c r="C172" s="97">
        <f t="shared" si="29"/>
        <v>10.166220804170605</v>
      </c>
      <c r="D172" s="97">
        <f t="shared" si="32"/>
        <v>16.73516699663767</v>
      </c>
      <c r="E172" s="97">
        <f t="shared" si="30"/>
        <v>9.4745767047256386</v>
      </c>
    </row>
    <row r="173" spans="1:8">
      <c r="A173" s="97"/>
      <c r="C173" s="97">
        <f t="shared" si="29"/>
        <v>10.156064739431175</v>
      </c>
      <c r="E173" s="97">
        <f t="shared" si="30"/>
        <v>9.4651115931325069</v>
      </c>
    </row>
    <row r="174" spans="1:8">
      <c r="A174" s="97"/>
      <c r="C174" s="97">
        <f t="shared" si="29"/>
        <v>10.145918820610564</v>
      </c>
      <c r="E174" s="97">
        <f t="shared" si="30"/>
        <v>9.4556559371953135</v>
      </c>
    </row>
    <row r="175" spans="1:8">
      <c r="A175" s="97"/>
      <c r="C175" s="97">
        <f t="shared" si="29"/>
        <v>10.135783037572992</v>
      </c>
      <c r="E175" s="97">
        <f t="shared" si="30"/>
        <v>9.4462097274678474</v>
      </c>
    </row>
    <row r="176" spans="1:8">
      <c r="A176" s="97"/>
      <c r="C176" s="97">
        <f t="shared" si="29"/>
        <v>10.1256573801928</v>
      </c>
      <c r="E176" s="97">
        <f t="shared" si="30"/>
        <v>9.4367729545133354</v>
      </c>
    </row>
    <row r="177" spans="1:5">
      <c r="A177" s="97"/>
      <c r="C177" s="97">
        <f t="shared" si="29"/>
        <v>10.115541838354448</v>
      </c>
      <c r="E177" s="97">
        <f t="shared" si="30"/>
        <v>9.4273456089044316</v>
      </c>
    </row>
    <row r="178" spans="1:5">
      <c r="A178" s="97"/>
      <c r="C178" s="97">
        <f t="shared" si="29"/>
        <v>10.105436401952495</v>
      </c>
      <c r="E178" s="97">
        <f t="shared" si="30"/>
        <v>9.41792768122321</v>
      </c>
    </row>
    <row r="179" spans="1:5">
      <c r="A179" s="97"/>
      <c r="C179" s="97">
        <f t="shared" si="29"/>
        <v>10.095341060891604</v>
      </c>
      <c r="E179" s="97">
        <f t="shared" si="30"/>
        <v>9.4085191620611504</v>
      </c>
    </row>
    <row r="180" spans="1:5">
      <c r="A180" s="97"/>
      <c r="C180" s="97">
        <f t="shared" si="29"/>
        <v>10.085255805086518</v>
      </c>
      <c r="E180" s="97">
        <f t="shared" si="30"/>
        <v>9.399120042019133</v>
      </c>
    </row>
    <row r="181" spans="1:5">
      <c r="A181" s="97"/>
      <c r="C181" s="97">
        <f t="shared" si="29"/>
        <v>10.075180624462057</v>
      </c>
      <c r="E181" s="97">
        <f t="shared" si="30"/>
        <v>9.3897303117074262</v>
      </c>
    </row>
    <row r="182" spans="1:5">
      <c r="A182" s="97"/>
      <c r="C182" s="97">
        <f t="shared" si="29"/>
        <v>10.065115508953104</v>
      </c>
      <c r="E182" s="97">
        <f t="shared" si="30"/>
        <v>9.3803499617456811</v>
      </c>
    </row>
    <row r="183" spans="1:5">
      <c r="A183" s="97"/>
      <c r="C183" s="97">
        <f t="shared" si="29"/>
        <v>10.0550604485046</v>
      </c>
      <c r="E183" s="97">
        <f t="shared" si="30"/>
        <v>9.3709789827629191</v>
      </c>
    </row>
    <row r="184" spans="1:5">
      <c r="A184" s="97"/>
      <c r="C184" s="97">
        <f t="shared" ref="C184:C185" si="33">C183/1.001</f>
        <v>10.04501543307153</v>
      </c>
      <c r="E184" s="97">
        <f t="shared" ref="E184:E185" si="34">E183/1.001</f>
        <v>9.3616173653975228</v>
      </c>
    </row>
    <row r="185" spans="1:5">
      <c r="A185" s="97"/>
      <c r="C185" s="97">
        <f t="shared" si="33"/>
        <v>10.034980452618912</v>
      </c>
      <c r="E185" s="97">
        <f t="shared" si="34"/>
        <v>9.3522651002972257</v>
      </c>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c r="C261" t="s">
        <v>25</v>
      </c>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abSelected="1" topLeftCell="K432" zoomScale="85" zoomScaleNormal="85" workbookViewId="0">
      <selection activeCell="M444" sqref="M444"/>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5699</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5810</v>
      </c>
      <c r="L453" s="82">
        <v>4500000000</v>
      </c>
      <c r="M453" s="82">
        <v>2500000000</v>
      </c>
      <c r="N453" s="111">
        <f t="shared" si="52"/>
        <v>7000000000</v>
      </c>
      <c r="O453" s="111">
        <f t="shared" si="55"/>
        <v>-100000000</v>
      </c>
      <c r="P453" s="111">
        <f t="shared" si="56"/>
        <v>-200000000</v>
      </c>
      <c r="Q453" s="225">
        <v>0</v>
      </c>
    </row>
    <row r="454" spans="9:21">
      <c r="I454" s="210" t="s">
        <v>5823</v>
      </c>
      <c r="J454" s="111">
        <f>L454-L453-260000000</f>
        <v>-241879353</v>
      </c>
      <c r="K454" s="210" t="s">
        <v>5816</v>
      </c>
      <c r="L454" s="82">
        <v>4518120647</v>
      </c>
      <c r="M454" s="82">
        <v>2565627600</v>
      </c>
      <c r="N454" s="111">
        <f t="shared" si="52"/>
        <v>7083748247</v>
      </c>
      <c r="O454" s="111">
        <f>M454-M453-260000</f>
        <v>65367600</v>
      </c>
      <c r="P454" s="111">
        <f>N454-N453-260260000</f>
        <v>-176511753</v>
      </c>
      <c r="Q454" s="225">
        <v>260260000</v>
      </c>
    </row>
    <row r="455" spans="9:21">
      <c r="I455" s="210"/>
      <c r="J455" s="111">
        <f t="shared" si="51"/>
        <v>170536780</v>
      </c>
      <c r="K455" s="210" t="s">
        <v>5821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5824</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5826</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5829</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5831</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5834</v>
      </c>
      <c r="L460" s="82">
        <v>5350000000</v>
      </c>
      <c r="M460" s="82">
        <v>3070000000</v>
      </c>
      <c r="N460" s="111">
        <f t="shared" si="52"/>
        <v>8420000000</v>
      </c>
      <c r="O460" s="111">
        <f t="shared" si="55"/>
        <v>53956081</v>
      </c>
      <c r="P460" s="111">
        <f t="shared" si="56"/>
        <v>173956081</v>
      </c>
    </row>
    <row r="461" spans="9:21">
      <c r="I461" s="210"/>
      <c r="J461" s="111">
        <f t="shared" si="51"/>
        <v>139527959</v>
      </c>
      <c r="K461" s="210" t="s">
        <v>5836</v>
      </c>
      <c r="L461" s="82">
        <v>5489527959</v>
      </c>
      <c r="M461" s="82">
        <v>3153965043</v>
      </c>
      <c r="N461" s="111">
        <f t="shared" si="52"/>
        <v>8643493002</v>
      </c>
      <c r="O461" s="111">
        <f t="shared" si="55"/>
        <v>83965043</v>
      </c>
      <c r="P461" s="111">
        <f t="shared" si="56"/>
        <v>223493002</v>
      </c>
    </row>
    <row r="462" spans="9:21">
      <c r="I462" s="210"/>
      <c r="J462" s="111">
        <f t="shared" si="51"/>
        <v>-5489527959</v>
      </c>
      <c r="K462" s="210"/>
      <c r="L462" s="82"/>
      <c r="M462" s="82"/>
      <c r="N462" s="111">
        <f t="shared" si="52"/>
        <v>0</v>
      </c>
      <c r="O462" s="111">
        <f t="shared" si="55"/>
        <v>-3153965043</v>
      </c>
      <c r="P462" s="111">
        <f t="shared" si="56"/>
        <v>-8643493002</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5786</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A132" workbookViewId="0">
      <selection activeCell="E156" sqref="E15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5801</v>
      </c>
      <c r="I153" t="s">
        <v>25</v>
      </c>
    </row>
    <row r="154" spans="4:9">
      <c r="D154" s="18">
        <v>-1800000</v>
      </c>
      <c r="E154" s="247" t="s">
        <v>5832</v>
      </c>
    </row>
    <row r="155" spans="4:9" ht="30">
      <c r="D155" s="18">
        <v>-3200000</v>
      </c>
      <c r="E155" s="247" t="s">
        <v>5833</v>
      </c>
      <c r="I155" t="s">
        <v>25</v>
      </c>
    </row>
    <row r="156" spans="4:9">
      <c r="D156" s="18"/>
      <c r="E156" s="247"/>
    </row>
    <row r="157" spans="4:9">
      <c r="D157" s="18"/>
      <c r="E157" s="247"/>
    </row>
    <row r="158" spans="4:9">
      <c r="D158" s="18"/>
      <c r="E158" s="94"/>
    </row>
    <row r="159" spans="4:9">
      <c r="D159" s="18"/>
      <c r="E159" s="94" t="s">
        <v>25</v>
      </c>
      <c r="I159" t="s">
        <v>25</v>
      </c>
    </row>
    <row r="160" spans="4:9">
      <c r="D160" s="18">
        <f>SUM(D40:D159)</f>
        <v>909586</v>
      </c>
      <c r="E160" s="94" t="s">
        <v>6</v>
      </c>
    </row>
    <row r="161" spans="4:5">
      <c r="D161" s="94"/>
      <c r="E161" s="94"/>
    </row>
    <row r="162" spans="4:5">
      <c r="D162" s="94"/>
      <c r="E162" s="94"/>
    </row>
    <row r="165" spans="4:5">
      <c r="E165" t="s">
        <v>25</v>
      </c>
    </row>
    <row r="166" spans="4:5">
      <c r="E166" t="s">
        <v>25</v>
      </c>
    </row>
    <row r="167" spans="4:5">
      <c r="E16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8" t="s">
        <v>1073</v>
      </c>
      <c r="R21" s="328"/>
      <c r="S21" s="328"/>
      <c r="T21" s="328"/>
      <c r="U21" s="94"/>
      <c r="V21" s="94"/>
      <c r="W21" s="41" t="s">
        <v>4978</v>
      </c>
      <c r="X21" s="41">
        <v>9035210431</v>
      </c>
      <c r="Y21" s="41">
        <v>50</v>
      </c>
      <c r="Z21" s="41" t="s">
        <v>5250</v>
      </c>
      <c r="AA21" t="s">
        <v>4996</v>
      </c>
    </row>
    <row r="22" spans="5:35">
      <c r="O22" s="97"/>
      <c r="P22" s="97"/>
      <c r="Q22" s="328"/>
      <c r="R22" s="328"/>
      <c r="S22" s="328"/>
      <c r="T22" s="328"/>
      <c r="U22" s="94"/>
      <c r="V22" s="94"/>
      <c r="W22" s="41" t="s">
        <v>5067</v>
      </c>
      <c r="X22" s="41">
        <v>9909620343</v>
      </c>
      <c r="Y22" s="41">
        <v>200</v>
      </c>
      <c r="Z22" s="41" t="s">
        <v>5251</v>
      </c>
      <c r="AA22" t="s">
        <v>5254</v>
      </c>
      <c r="AB22" s="41" t="s">
        <v>5262</v>
      </c>
    </row>
    <row r="23" spans="5:35" ht="15.75">
      <c r="O23" s="176"/>
      <c r="P23" s="97" t="s">
        <v>4070</v>
      </c>
      <c r="Q23" s="329" t="s">
        <v>1074</v>
      </c>
      <c r="R23" s="330" t="s">
        <v>1075</v>
      </c>
      <c r="S23" s="329" t="s">
        <v>1076</v>
      </c>
      <c r="T23" s="331" t="s">
        <v>1077</v>
      </c>
      <c r="W23" s="41" t="s">
        <v>5068</v>
      </c>
      <c r="X23" s="41">
        <v>9378807702</v>
      </c>
      <c r="Y23" s="41">
        <v>0</v>
      </c>
      <c r="Z23" s="41">
        <v>0</v>
      </c>
      <c r="AD23" t="s">
        <v>25</v>
      </c>
    </row>
    <row r="24" spans="5:35">
      <c r="O24" s="97"/>
      <c r="P24" s="97"/>
      <c r="Q24" s="329"/>
      <c r="R24" s="330"/>
      <c r="S24" s="329"/>
      <c r="T24" s="331"/>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5"/>
  <sheetViews>
    <sheetView topLeftCell="D276" zoomScale="80" zoomScaleNormal="80" workbookViewId="0">
      <selection activeCell="J307" sqref="J30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 t="shared" ref="V20:V61" si="6">U20*(1+$R$105+$Q$15*S20/36500)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5519586300.1416416</v>
      </c>
      <c r="M21" s="166" t="s">
        <v>4276</v>
      </c>
      <c r="N21" s="111">
        <f>O21*P21</f>
        <v>2551526900</v>
      </c>
      <c r="O21" s="97">
        <v>1962713</v>
      </c>
      <c r="P21" s="183">
        <f>P45</f>
        <v>1300</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553242000</v>
      </c>
      <c r="O22" s="97">
        <v>32072</v>
      </c>
      <c r="P22" s="183">
        <f>P44</f>
        <v>17250</v>
      </c>
      <c r="Q22" s="167">
        <v>1614398</v>
      </c>
      <c r="R22" s="166" t="s">
        <v>4398</v>
      </c>
      <c r="S22" s="166">
        <f>S21-3</f>
        <v>708</v>
      </c>
      <c r="T22" s="19" t="s">
        <v>5702</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61335000</v>
      </c>
      <c r="O23" s="97">
        <v>4089</v>
      </c>
      <c r="P23" s="183">
        <f>P43</f>
        <v>15000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5720729770.1416416</v>
      </c>
      <c r="G24" s="93">
        <f t="shared" si="0"/>
        <v>-5440423424.7597027</v>
      </c>
      <c r="H24" s="11"/>
      <c r="I24" s="94"/>
      <c r="J24" s="94"/>
      <c r="K24" s="166" t="s">
        <v>4427</v>
      </c>
      <c r="L24" s="115">
        <f>-'فروردین 98'!D160</f>
        <v>-909586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66619500</v>
      </c>
      <c r="O26" s="67">
        <v>3862</v>
      </c>
      <c r="P26" s="97">
        <f>P44</f>
        <v>17250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9750000</v>
      </c>
      <c r="O27" s="67">
        <v>650</v>
      </c>
      <c r="P27" s="97">
        <f>P43</f>
        <v>15000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211459300</v>
      </c>
      <c r="O28" s="67">
        <v>162661</v>
      </c>
      <c r="P28" s="97">
        <f>P45</f>
        <v>1300</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-W159</f>
        <v>-5519586300.1416416</v>
      </c>
      <c r="P31" t="s">
        <v>25</v>
      </c>
      <c r="Q31" s="167">
        <v>1962799</v>
      </c>
      <c r="R31" s="210" t="s">
        <v>5182</v>
      </c>
      <c r="S31" s="195">
        <f>S30-167</f>
        <v>371</v>
      </c>
      <c r="T31" s="210" t="s">
        <v>5204</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5445</v>
      </c>
      <c r="S34" s="195">
        <f>S33-1</f>
        <v>206</v>
      </c>
      <c r="T34" s="210" t="s">
        <v>5446</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5448</v>
      </c>
      <c r="S35" s="195">
        <f>S34-4</f>
        <v>202</v>
      </c>
      <c r="T35" s="210" t="s">
        <v>5449</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5459</v>
      </c>
      <c r="S38" s="195">
        <f>S37-3</f>
        <v>196</v>
      </c>
      <c r="T38" s="210" t="s">
        <v>5460</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71811</v>
      </c>
      <c r="O39" s="112"/>
      <c r="P39" t="s">
        <v>25</v>
      </c>
      <c r="Q39" s="167">
        <v>3602822</v>
      </c>
      <c r="R39" s="210" t="s">
        <v>5462</v>
      </c>
      <c r="S39" s="195">
        <f>S38-1</f>
        <v>195</v>
      </c>
      <c r="T39" s="210" t="s">
        <v>5463</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5493</v>
      </c>
      <c r="L41" s="115">
        <v>-35425716</v>
      </c>
      <c r="M41" s="21" t="s">
        <v>5549</v>
      </c>
      <c r="N41" s="115">
        <f>O41*P41</f>
        <v>48834750</v>
      </c>
      <c r="O41" s="67">
        <v>2831</v>
      </c>
      <c r="P41" s="67">
        <f>P44</f>
        <v>17250</v>
      </c>
      <c r="Q41" s="167">
        <v>64446280</v>
      </c>
      <c r="R41" s="210" t="s">
        <v>5476</v>
      </c>
      <c r="S41" s="195">
        <f>S40-3</f>
        <v>186</v>
      </c>
      <c r="T41" s="210" t="s">
        <v>5479</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5656</v>
      </c>
      <c r="L42" s="115">
        <f>N41</f>
        <v>48834750</v>
      </c>
      <c r="M42" s="21" t="s">
        <v>5271</v>
      </c>
      <c r="N42" s="115">
        <f t="shared" ref="N42:N48" si="16">O42*P42</f>
        <v>0</v>
      </c>
      <c r="O42" s="67">
        <v>0</v>
      </c>
      <c r="P42" s="67">
        <v>91000</v>
      </c>
      <c r="Q42" s="167">
        <v>86262245.771123007</v>
      </c>
      <c r="R42" s="210" t="s">
        <v>5339</v>
      </c>
      <c r="S42" s="195">
        <f>S41-6</f>
        <v>180</v>
      </c>
      <c r="T42" s="210" t="s">
        <v>5599</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5543</v>
      </c>
      <c r="L43" s="115">
        <f>J152</f>
        <v>327024150</v>
      </c>
      <c r="M43" s="19" t="s">
        <v>4358</v>
      </c>
      <c r="N43" s="115">
        <f t="shared" si="16"/>
        <v>112845000</v>
      </c>
      <c r="O43" s="67">
        <v>7523</v>
      </c>
      <c r="P43" s="67">
        <v>15000</v>
      </c>
      <c r="Q43" s="167">
        <v>5334013</v>
      </c>
      <c r="R43" s="210" t="s">
        <v>5622</v>
      </c>
      <c r="S43" s="195">
        <f>S42-72</f>
        <v>108</v>
      </c>
      <c r="T43" s="210" t="s">
        <v>5623</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5710</v>
      </c>
      <c r="L44" s="115">
        <f>-747*P48</f>
        <v>-22036500</v>
      </c>
      <c r="M44" s="19" t="s">
        <v>4362</v>
      </c>
      <c r="N44" s="115">
        <f t="shared" si="16"/>
        <v>1607803500</v>
      </c>
      <c r="O44" s="67">
        <v>93206</v>
      </c>
      <c r="P44" s="67">
        <v>17250</v>
      </c>
      <c r="Q44" s="167">
        <v>1279078</v>
      </c>
      <c r="R44" s="210" t="s">
        <v>5647</v>
      </c>
      <c r="S44" s="195">
        <f>S43-12</f>
        <v>96</v>
      </c>
      <c r="T44" s="210" t="s">
        <v>5648</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5597</v>
      </c>
      <c r="L45" s="115"/>
      <c r="M45" s="19" t="s">
        <v>4160</v>
      </c>
      <c r="N45" s="111">
        <f>O45*P45</f>
        <v>3807307400</v>
      </c>
      <c r="O45" s="97">
        <v>2928698</v>
      </c>
      <c r="P45" s="97">
        <v>1300</v>
      </c>
      <c r="Q45" s="167">
        <v>5240513.1203840468</v>
      </c>
      <c r="R45" s="210" t="s">
        <v>5649</v>
      </c>
      <c r="S45" s="195">
        <f>S44-1</f>
        <v>95</v>
      </c>
      <c r="T45" s="210" t="s">
        <v>5804</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5624</v>
      </c>
      <c r="L46" s="115">
        <v>-1605910</v>
      </c>
      <c r="M46" s="19" t="s">
        <v>5088</v>
      </c>
      <c r="N46" s="111">
        <f t="shared" si="16"/>
        <v>0</v>
      </c>
      <c r="O46" s="97">
        <v>0</v>
      </c>
      <c r="P46" s="97">
        <v>9700</v>
      </c>
      <c r="Q46" s="167">
        <v>5368238</v>
      </c>
      <c r="R46" s="210" t="s">
        <v>5673</v>
      </c>
      <c r="S46" s="195">
        <f>S45-22</f>
        <v>73</v>
      </c>
      <c r="T46" s="210" t="s">
        <v>5674</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1140000</v>
      </c>
      <c r="Q47" s="167">
        <v>40195775</v>
      </c>
      <c r="R47" s="210" t="s">
        <v>5675</v>
      </c>
      <c r="S47" s="195">
        <f>S46-3</f>
        <v>70</v>
      </c>
      <c r="T47" s="210" t="s">
        <v>5676</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5820</v>
      </c>
      <c r="L48" s="115">
        <v>1000000</v>
      </c>
      <c r="M48" s="71" t="s">
        <v>5087</v>
      </c>
      <c r="N48" s="115">
        <f t="shared" si="16"/>
        <v>0</v>
      </c>
      <c r="O48" s="67">
        <v>0</v>
      </c>
      <c r="P48" s="67">
        <v>29500</v>
      </c>
      <c r="Q48" s="167">
        <v>16176504</v>
      </c>
      <c r="R48" s="210" t="s">
        <v>5677</v>
      </c>
      <c r="S48" s="195">
        <f>S47-1</f>
        <v>69</v>
      </c>
      <c r="T48" s="210" t="s">
        <v>5678</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38191823</v>
      </c>
      <c r="R51" s="210" t="s">
        <v>5690</v>
      </c>
      <c r="S51" s="195">
        <f>S50-1</f>
        <v>59</v>
      </c>
      <c r="T51" s="210" t="s">
        <v>5691</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5693</v>
      </c>
      <c r="S52" s="195">
        <f>S51-3</f>
        <v>56</v>
      </c>
      <c r="T52" s="210" t="s">
        <v>5697</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5695</v>
      </c>
      <c r="S53" s="195">
        <f>S52-2</f>
        <v>54</v>
      </c>
      <c r="T53" s="210" t="s">
        <v>5696</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5698</v>
      </c>
      <c r="S54" s="195">
        <f>S53-1</f>
        <v>53</v>
      </c>
      <c r="T54" s="210" t="s">
        <v>5703</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-W160</f>
        <v>-108619790.53885023</v>
      </c>
      <c r="P55" t="s">
        <v>25</v>
      </c>
      <c r="Q55" s="167">
        <v>563902380</v>
      </c>
      <c r="R55" s="210" t="s">
        <v>5705</v>
      </c>
      <c r="S55" s="195">
        <f>S54-5</f>
        <v>48</v>
      </c>
      <c r="T55" s="210" t="s">
        <v>5707</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5713</v>
      </c>
      <c r="S56" s="195">
        <f>S55-8</f>
        <v>40</v>
      </c>
      <c r="T56" s="210" t="s">
        <v>5714</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5735</v>
      </c>
      <c r="S57" s="195">
        <f>S56-5</f>
        <v>35</v>
      </c>
      <c r="T57" s="210" t="s">
        <v>5736</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3346523517.3195081</v>
      </c>
      <c r="P58" t="s">
        <v>25</v>
      </c>
      <c r="Q58" s="167">
        <v>2352469</v>
      </c>
      <c r="R58" s="210" t="s">
        <v>5741</v>
      </c>
      <c r="S58" s="195">
        <f>S57-2</f>
        <v>33</v>
      </c>
      <c r="T58" s="210" t="s">
        <v>5742</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5720729770.1416416</v>
      </c>
      <c r="M59" s="166"/>
      <c r="N59" s="111">
        <f>N16+N17+N32</f>
        <v>641053</v>
      </c>
      <c r="Q59" s="167">
        <v>66679502.699854635</v>
      </c>
      <c r="R59" s="210" t="s">
        <v>5746</v>
      </c>
      <c r="S59" s="195">
        <f>S58-1</f>
        <v>32</v>
      </c>
      <c r="T59" s="210" t="s">
        <v>5800</v>
      </c>
      <c r="U59" s="210">
        <v>16861.099999999999</v>
      </c>
      <c r="V59" s="210">
        <f t="shared" si="6"/>
        <v>17531.294078904109</v>
      </c>
      <c r="W59" s="32">
        <f t="shared" ref="W59:W76" si="31">V59*(1+$W$19/100)</f>
        <v>17881.919960482192</v>
      </c>
      <c r="X59" s="32">
        <f t="shared" ref="X59:X76"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5820729770.1416416</v>
      </c>
      <c r="O61" s="94"/>
      <c r="P61" s="94"/>
      <c r="Q61" s="167">
        <v>23400057</v>
      </c>
      <c r="R61" s="210" t="s">
        <v>5750</v>
      </c>
      <c r="S61" s="195">
        <f>S60-1</f>
        <v>31</v>
      </c>
      <c r="T61" s="210" t="s">
        <v>5756</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5787</v>
      </c>
      <c r="S65" s="195">
        <f>S64-19</f>
        <v>5</v>
      </c>
      <c r="T65" s="210" t="s">
        <v>5788</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5789</v>
      </c>
      <c r="S66" s="195">
        <f>S65-1</f>
        <v>4</v>
      </c>
      <c r="T66" s="210" t="s">
        <v>5790</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5792</v>
      </c>
      <c r="S67" s="195">
        <f>S66-1</f>
        <v>3</v>
      </c>
      <c r="T67" s="210" t="s">
        <v>5793</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5795</v>
      </c>
      <c r="S68" s="195">
        <f>S67-3</f>
        <v>0</v>
      </c>
      <c r="T68" s="210" t="s">
        <v>5796</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5798</v>
      </c>
      <c r="S69" s="195">
        <f>S68-2</f>
        <v>-2</v>
      </c>
      <c r="T69" s="210" t="s">
        <v>5799</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t="s">
        <v>25</v>
      </c>
      <c r="R70" s="210" t="s">
        <v>5802</v>
      </c>
      <c r="S70" s="195">
        <f>S69-7</f>
        <v>-9</v>
      </c>
      <c r="T70" s="210" t="s">
        <v>5803</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3"/>
        <v>784</v>
      </c>
      <c r="AM72" s="115">
        <f t="shared" si="10"/>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Q75" s="167" t="s">
        <v>25</v>
      </c>
      <c r="R75" s="210" t="s">
        <v>25</v>
      </c>
      <c r="S75" s="195"/>
      <c r="T75" s="210" t="s">
        <v>25</v>
      </c>
      <c r="U75" s="210"/>
      <c r="V75" s="210">
        <f>U75*(1+$R$105+$Q$15*S75/36500)</f>
        <v>0</v>
      </c>
      <c r="W75" s="32">
        <f t="shared" si="31"/>
        <v>0</v>
      </c>
      <c r="X75" s="32">
        <f t="shared" si="32"/>
        <v>0</v>
      </c>
      <c r="Y75" t="s">
        <v>25</v>
      </c>
      <c r="Z75" s="120" t="s">
        <v>25</v>
      </c>
      <c r="AA75" s="94"/>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1"/>
        <v>0</v>
      </c>
      <c r="X76" s="32">
        <f t="shared" si="32"/>
        <v>0</v>
      </c>
      <c r="Y76" s="120" t="s">
        <v>25</v>
      </c>
      <c r="Z76" s="120"/>
      <c r="AA76" s="94"/>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7">
        <f>SUM(N21:N23)-SUM(Q20:Q76)</f>
        <v>995527340.08444786</v>
      </c>
      <c r="R77" s="166" t="s">
        <v>25</v>
      </c>
      <c r="S77" s="166" t="s">
        <v>25</v>
      </c>
      <c r="T77" s="166" t="s">
        <v>25</v>
      </c>
      <c r="U77" s="166"/>
      <c r="V77" s="166"/>
      <c r="W77" s="32"/>
      <c r="X77" s="32"/>
      <c r="Z77" s="120"/>
      <c r="AH77" s="20">
        <v>57</v>
      </c>
      <c r="AI77" s="115" t="s">
        <v>4259</v>
      </c>
      <c r="AJ77" s="115">
        <v>-300000</v>
      </c>
      <c r="AK77" s="20">
        <v>3</v>
      </c>
      <c r="AL77" s="97">
        <f t="shared" si="33"/>
        <v>756</v>
      </c>
      <c r="AM77" s="115">
        <f t="shared" si="10"/>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4"/>
        <v>739</v>
      </c>
      <c r="AM80" s="115">
        <f>AJ80*AL80</f>
        <v>-1810550000</v>
      </c>
      <c r="AN80" s="20"/>
    </row>
    <row r="81" spans="4:52" ht="30.75">
      <c r="D81" s="31" t="s">
        <v>308</v>
      </c>
      <c r="E81" s="1">
        <v>300000</v>
      </c>
      <c r="G81" s="94"/>
      <c r="H81" s="94"/>
      <c r="K81" t="s">
        <v>4272</v>
      </c>
      <c r="M81" s="323"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 t="shared" ref="V83:V98" si="35">U83*(1+$R$105+$Q$15*S83/36500)</f>
        <v>287.66647890410957</v>
      </c>
      <c r="W83" s="32">
        <f t="shared" ref="W83:W90" si="36">V83*(1+$W$19/100)</f>
        <v>293.41980848219174</v>
      </c>
      <c r="X83" s="32">
        <f t="shared" ref="X83:X90" si="37">V83*(1+$X$19/100)</f>
        <v>299.17313806027397</v>
      </c>
      <c r="Y83" s="94">
        <v>4661</v>
      </c>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1692313</v>
      </c>
      <c r="R84" s="166" t="s">
        <v>4464</v>
      </c>
      <c r="S84" s="195">
        <f>S83-21</f>
        <v>687</v>
      </c>
      <c r="T84" s="187" t="s">
        <v>4465</v>
      </c>
      <c r="U84" s="166">
        <v>168.5</v>
      </c>
      <c r="V84" s="166">
        <f t="shared" si="35"/>
        <v>259.86300821917808</v>
      </c>
      <c r="W84" s="32">
        <f t="shared" si="36"/>
        <v>265.06026838356166</v>
      </c>
      <c r="X84" s="32">
        <f t="shared" si="37"/>
        <v>270.25752854794524</v>
      </c>
      <c r="Y84" s="94">
        <v>10000</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 t="shared" si="35"/>
        <v>256.95914410958903</v>
      </c>
      <c r="W85" s="32">
        <f t="shared" si="36"/>
        <v>262.09832699178082</v>
      </c>
      <c r="X85" s="32">
        <f t="shared" si="37"/>
        <v>267.23750987397261</v>
      </c>
      <c r="Y85" s="94">
        <v>604</v>
      </c>
      <c r="AA85" s="120" t="s">
        <v>25</v>
      </c>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 t="shared" si="35"/>
        <v>256.67719671232879</v>
      </c>
      <c r="W86" s="32">
        <f t="shared" si="36"/>
        <v>261.81074064657537</v>
      </c>
      <c r="X86" s="32">
        <f t="shared" si="37"/>
        <v>266.94428458082194</v>
      </c>
      <c r="Y86" s="94">
        <v>1094</v>
      </c>
      <c r="AA86" s="113" t="s">
        <v>25</v>
      </c>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 t="shared" si="35"/>
        <v>261.34204273972603</v>
      </c>
      <c r="W87" s="32">
        <f t="shared" si="36"/>
        <v>266.56888359452057</v>
      </c>
      <c r="X87" s="32">
        <f t="shared" si="37"/>
        <v>271.79572444931506</v>
      </c>
      <c r="Y87" s="94">
        <v>976</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 t="shared" si="35"/>
        <v>267.20406575342469</v>
      </c>
      <c r="W88" s="32">
        <f t="shared" si="36"/>
        <v>272.54814706849317</v>
      </c>
      <c r="X88" s="32">
        <f t="shared" si="37"/>
        <v>277.8922283835617</v>
      </c>
      <c r="Y88" s="94">
        <v>108344</v>
      </c>
      <c r="Z88" s="113"/>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 t="shared" si="35"/>
        <v>313.33977534246577</v>
      </c>
      <c r="W89" s="32">
        <f t="shared" si="36"/>
        <v>319.60657084931512</v>
      </c>
      <c r="X89" s="32">
        <f t="shared" si="37"/>
        <v>325.87336635616441</v>
      </c>
      <c r="Y89" s="94">
        <v>5468</v>
      </c>
      <c r="Z89" s="113"/>
      <c r="AA89" s="113"/>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 t="shared" si="35"/>
        <v>278.95232219178081</v>
      </c>
      <c r="W90" s="32">
        <f t="shared" si="36"/>
        <v>284.53136863561645</v>
      </c>
      <c r="X90" s="32">
        <f t="shared" si="37"/>
        <v>290.11041507945203</v>
      </c>
      <c r="Y90" s="94">
        <v>29619</v>
      </c>
      <c r="Z90" s="113"/>
      <c r="AA90" s="113"/>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 t="shared" si="35"/>
        <v>9370.0121567123297</v>
      </c>
      <c r="W91" s="32">
        <f t="shared" ref="W91:W100" si="38">V91*(1+$W$19/100)</f>
        <v>9557.4123998465766</v>
      </c>
      <c r="X91" s="32">
        <f t="shared" ref="X91:X100" si="39">V91*(1+$X$19/100)</f>
        <v>9744.8126429808235</v>
      </c>
      <c r="Y91" s="94"/>
      <c r="Z91" s="113">
        <v>893</v>
      </c>
      <c r="AA91" s="113"/>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 t="shared" si="35"/>
        <v>9711.1040142465754</v>
      </c>
      <c r="W92" s="32">
        <f t="shared" si="38"/>
        <v>9905.3260945315069</v>
      </c>
      <c r="X92" s="32">
        <f t="shared" si="39"/>
        <v>10099.548174816438</v>
      </c>
      <c r="Y92" s="94"/>
      <c r="Z92" s="113">
        <v>543</v>
      </c>
      <c r="AA92" s="113"/>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 t="shared" si="35"/>
        <v>10462.389041095892</v>
      </c>
      <c r="W93" s="32">
        <f t="shared" si="38"/>
        <v>10671.636821917809</v>
      </c>
      <c r="X93" s="32">
        <f t="shared" si="39"/>
        <v>10880.884602739729</v>
      </c>
      <c r="Y93" s="94"/>
      <c r="Z93" s="113">
        <v>83</v>
      </c>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 t="shared" si="35"/>
        <v>12389.252978630137</v>
      </c>
      <c r="W94" s="32">
        <f t="shared" si="38"/>
        <v>12637.03803820274</v>
      </c>
      <c r="X94" s="32">
        <f t="shared" si="39"/>
        <v>12884.823097775343</v>
      </c>
      <c r="Z94" s="120">
        <v>129</v>
      </c>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 t="shared" si="35"/>
        <v>20095.484669589041</v>
      </c>
      <c r="W95" s="32">
        <f t="shared" si="38"/>
        <v>20497.394362980824</v>
      </c>
      <c r="X95" s="32">
        <f t="shared" si="39"/>
        <v>20899.304056372603</v>
      </c>
      <c r="Z95" s="120">
        <v>306</v>
      </c>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 t="shared" si="35"/>
        <v>16597.896000000004</v>
      </c>
      <c r="W96" s="32">
        <f t="shared" si="38"/>
        <v>16929.853920000005</v>
      </c>
      <c r="X96" s="32">
        <f t="shared" si="39"/>
        <v>17261.811840000006</v>
      </c>
      <c r="Y96" s="94"/>
      <c r="AA96">
        <v>650</v>
      </c>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v>35631257</v>
      </c>
      <c r="R97" s="19" t="s">
        <v>5659</v>
      </c>
      <c r="S97" s="195">
        <f>S96</f>
        <v>88</v>
      </c>
      <c r="T97" s="187" t="s">
        <v>5661</v>
      </c>
      <c r="U97" s="210">
        <v>18610</v>
      </c>
      <c r="V97" s="210">
        <f t="shared" si="35"/>
        <v>20149.174465753429</v>
      </c>
      <c r="W97" s="32">
        <f t="shared" si="38"/>
        <v>20552.157955068498</v>
      </c>
      <c r="X97" s="32">
        <f t="shared" si="39"/>
        <v>20955.141444383567</v>
      </c>
      <c r="Y97" s="94" t="s">
        <v>25</v>
      </c>
      <c r="Z97">
        <v>1908</v>
      </c>
      <c r="AH97" s="97">
        <v>77</v>
      </c>
      <c r="AI97" s="111" t="s">
        <v>4464</v>
      </c>
      <c r="AJ97" s="111">
        <v>1900000</v>
      </c>
      <c r="AK97" s="97">
        <v>3</v>
      </c>
      <c r="AL97" s="97">
        <f t="shared" si="40"/>
        <v>700</v>
      </c>
      <c r="AM97" s="115">
        <f t="shared" si="10"/>
        <v>1330000000</v>
      </c>
      <c r="AN97" s="97"/>
    </row>
    <row r="98" spans="4:47">
      <c r="D98" s="2"/>
      <c r="E98" s="3"/>
      <c r="Q98" s="167">
        <v>2948152</v>
      </c>
      <c r="R98" s="19" t="s">
        <v>5746</v>
      </c>
      <c r="S98" s="195">
        <f>S97-56</f>
        <v>32</v>
      </c>
      <c r="T98" s="187" t="s">
        <v>5747</v>
      </c>
      <c r="U98" s="210">
        <v>1550</v>
      </c>
      <c r="V98" s="210">
        <f t="shared" si="35"/>
        <v>1611.6093150684935</v>
      </c>
      <c r="W98" s="32">
        <f t="shared" si="38"/>
        <v>1643.8415013698634</v>
      </c>
      <c r="X98" s="32">
        <f t="shared" si="39"/>
        <v>1676.0736876712333</v>
      </c>
      <c r="Y98" s="94">
        <v>1895</v>
      </c>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8769.2307692307695</v>
      </c>
      <c r="G100" s="197">
        <f>P45</f>
        <v>1300</v>
      </c>
      <c r="H100" s="197" t="s">
        <v>4716</v>
      </c>
      <c r="I100" s="197" t="s">
        <v>5338</v>
      </c>
      <c r="J100" s="211" t="s">
        <v>4220</v>
      </c>
      <c r="K100" s="197">
        <v>210</v>
      </c>
      <c r="L100" s="212">
        <f t="shared" ref="L100:L105" si="41">K100*$L$108</f>
        <v>2394000000</v>
      </c>
      <c r="M100" s="212">
        <f>N21+N28+N45+N41</f>
        <v>6619128350</v>
      </c>
      <c r="N100" s="181">
        <f t="shared" ref="N100:N105" si="42">L100-M100</f>
        <v>-4225128350</v>
      </c>
      <c r="P100" s="94"/>
      <c r="Q100" s="167"/>
      <c r="R100" s="166"/>
      <c r="S100" s="111"/>
      <c r="T100" s="111"/>
      <c r="U100" s="166" t="s">
        <v>25</v>
      </c>
      <c r="V100" s="210" t="e">
        <f>U100*(1+$R$105+$Q$15*S100/36500)</f>
        <v>#VALUE!</v>
      </c>
      <c r="W100" s="32" t="e">
        <f t="shared" si="38"/>
        <v>#VALUE!</v>
      </c>
      <c r="X100" s="32" t="e">
        <f t="shared" si="39"/>
        <v>#VALUE!</v>
      </c>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17250</v>
      </c>
      <c r="H101" s="210" t="s">
        <v>4878</v>
      </c>
      <c r="I101" s="210" t="s">
        <v>5339</v>
      </c>
      <c r="J101" s="32" t="s">
        <v>4362</v>
      </c>
      <c r="K101" s="210">
        <v>33</v>
      </c>
      <c r="L101" s="1">
        <f t="shared" si="41"/>
        <v>376200000</v>
      </c>
      <c r="M101" s="1">
        <f>N44+N26+N22</f>
        <v>2227665000</v>
      </c>
      <c r="N101" s="111">
        <f t="shared" si="42"/>
        <v>-1851465000</v>
      </c>
      <c r="P101" s="94"/>
      <c r="Q101" s="111">
        <f>SUM(N26:N28)-SUM(Q82:Q100)</f>
        <v>190122703.7462979</v>
      </c>
      <c r="R101" s="166"/>
      <c r="S101" s="166"/>
      <c r="T101" s="166"/>
      <c r="U101" s="166"/>
      <c r="V101" s="166"/>
      <c r="W101" s="32"/>
      <c r="X101" s="32"/>
      <c r="Y101" s="94"/>
      <c r="AH101" s="97">
        <v>81</v>
      </c>
      <c r="AI101" s="111" t="s">
        <v>4509</v>
      </c>
      <c r="AJ101" s="111">
        <v>400000</v>
      </c>
      <c r="AK101" s="97">
        <v>0</v>
      </c>
      <c r="AL101" s="97">
        <f t="shared" si="40"/>
        <v>690</v>
      </c>
      <c r="AM101" s="115">
        <f t="shared" si="10"/>
        <v>276000000</v>
      </c>
      <c r="AN101" s="97"/>
    </row>
    <row r="102" spans="4:47">
      <c r="F102" s="197">
        <v>0</v>
      </c>
      <c r="G102" s="197">
        <f>P43</f>
        <v>15000</v>
      </c>
      <c r="H102" s="197" t="s">
        <v>4996</v>
      </c>
      <c r="I102" s="197" t="s">
        <v>5340</v>
      </c>
      <c r="J102" s="211" t="s">
        <v>4358</v>
      </c>
      <c r="K102" s="197">
        <v>0</v>
      </c>
      <c r="L102" s="212">
        <f t="shared" si="41"/>
        <v>0</v>
      </c>
      <c r="M102" s="212">
        <f>N43+N23</f>
        <v>174180000</v>
      </c>
      <c r="N102" s="181">
        <f t="shared" si="42"/>
        <v>-174180000</v>
      </c>
      <c r="P102" s="94"/>
      <c r="R102" s="113"/>
      <c r="S102" s="113"/>
      <c r="T102" s="113" t="s">
        <v>25</v>
      </c>
      <c r="U102" s="113" t="s">
        <v>25</v>
      </c>
      <c r="V102" s="113" t="s">
        <v>25</v>
      </c>
      <c r="W102" s="192" t="s">
        <v>25</v>
      </c>
      <c r="X102" s="192"/>
      <c r="Y102" s="94"/>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5341</v>
      </c>
      <c r="K103" s="187">
        <v>0</v>
      </c>
      <c r="L103" s="278">
        <f t="shared" si="41"/>
        <v>0</v>
      </c>
      <c r="M103" s="278">
        <f>N20+N25+N39</f>
        <v>109320</v>
      </c>
      <c r="N103" s="186">
        <f t="shared" si="42"/>
        <v>-109320</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40"/>
        <v>689</v>
      </c>
      <c r="AM103" s="115">
        <f t="shared" si="10"/>
        <v>-3808528802</v>
      </c>
      <c r="AN103" s="97"/>
    </row>
    <row r="104" spans="4:47">
      <c r="F104" s="197"/>
      <c r="G104" s="197"/>
      <c r="H104" s="197"/>
      <c r="I104" s="197"/>
      <c r="J104" s="211" t="s">
        <v>314</v>
      </c>
      <c r="K104" s="197">
        <v>1</v>
      </c>
      <c r="L104" s="212">
        <f t="shared" si="41"/>
        <v>11400000</v>
      </c>
      <c r="M104" s="212">
        <v>0</v>
      </c>
      <c r="N104" s="181">
        <f t="shared" si="42"/>
        <v>11400000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40"/>
        <v>689</v>
      </c>
      <c r="AM104" s="115">
        <f t="shared" si="10"/>
        <v>2687100000</v>
      </c>
      <c r="AN104" s="97"/>
    </row>
    <row r="105" spans="4:47">
      <c r="F105" s="189"/>
      <c r="G105" s="189"/>
      <c r="H105" s="189"/>
      <c r="I105" s="189"/>
      <c r="J105" s="249" t="s">
        <v>5461</v>
      </c>
      <c r="K105" s="189">
        <v>500</v>
      </c>
      <c r="L105" s="250">
        <f t="shared" si="41"/>
        <v>5700000000</v>
      </c>
      <c r="M105" s="250">
        <v>0</v>
      </c>
      <c r="N105" s="84">
        <f t="shared" si="42"/>
        <v>5700000000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40"/>
        <v>685</v>
      </c>
      <c r="AM106" s="115">
        <f t="shared" si="10"/>
        <v>-17518501675</v>
      </c>
      <c r="AN106" s="97"/>
      <c r="AP106" t="s">
        <v>25</v>
      </c>
    </row>
    <row r="107" spans="4:47" ht="30">
      <c r="F107" s="197"/>
      <c r="G107" s="197"/>
      <c r="H107" s="197"/>
      <c r="I107" s="197"/>
      <c r="J107" s="211" t="s">
        <v>5015</v>
      </c>
      <c r="K107" s="197">
        <f>SUM(K100:K105)</f>
        <v>744</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11400000</v>
      </c>
      <c r="M108" s="1">
        <f>K108*L108</f>
        <v>0</v>
      </c>
      <c r="N108" s="111">
        <f>SUM(N100:N106)-M108</f>
        <v>-439882670</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 t="shared" ref="V109:V149" si="43">U109*(1+$R$105+$Q$15*S109/36500)</f>
        <v>308.32990684931508</v>
      </c>
      <c r="W109" s="32">
        <f t="shared" ref="W109" si="44">V109*(1+$W$19/100)</f>
        <v>314.49650498630137</v>
      </c>
      <c r="X109" s="32">
        <f t="shared" ref="X109" si="45">V109*(1+$X$19/100)</f>
        <v>320.66310312328767</v>
      </c>
      <c r="Y109" s="94">
        <v>200000</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 t="shared" si="43"/>
        <v>8665.0217063013697</v>
      </c>
      <c r="W110" s="32">
        <f t="shared" ref="W110:W117" si="46">V110*(1+$W$19/100)</f>
        <v>8838.3221404273972</v>
      </c>
      <c r="X110" s="32">
        <f t="shared" ref="X110:X117" si="47">V110*(1+$X$19/100)</f>
        <v>9011.6225745534248</v>
      </c>
      <c r="Z110">
        <v>1</v>
      </c>
      <c r="AC110" t="s">
        <v>25</v>
      </c>
      <c r="AH110" s="97">
        <v>90</v>
      </c>
      <c r="AI110" s="111" t="s">
        <v>4529</v>
      </c>
      <c r="AJ110" s="111">
        <v>-5241937</v>
      </c>
      <c r="AK110" s="97">
        <v>0</v>
      </c>
      <c r="AL110" s="97">
        <f t="shared" si="40"/>
        <v>678</v>
      </c>
      <c r="AM110" s="115">
        <f t="shared" si="10"/>
        <v>-3554033286</v>
      </c>
      <c r="AN110" s="97"/>
    </row>
    <row r="111" spans="4:47">
      <c r="M111" t="s">
        <v>25</v>
      </c>
      <c r="Q111" s="167">
        <v>4038752</v>
      </c>
      <c r="R111" s="210" t="s">
        <v>5277</v>
      </c>
      <c r="S111" s="210">
        <f>S110-6</f>
        <v>284</v>
      </c>
      <c r="T111" s="210" t="s">
        <v>5278</v>
      </c>
      <c r="U111" s="210">
        <v>7310</v>
      </c>
      <c r="V111" s="97">
        <f t="shared" si="43"/>
        <v>9013.6906301369872</v>
      </c>
      <c r="W111" s="32">
        <f t="shared" si="46"/>
        <v>9193.964442739727</v>
      </c>
      <c r="X111" s="32">
        <f t="shared" si="47"/>
        <v>9374.2382553424668</v>
      </c>
      <c r="Z111">
        <v>550</v>
      </c>
      <c r="AH111" s="97">
        <v>91</v>
      </c>
      <c r="AI111" s="111" t="s">
        <v>4529</v>
      </c>
      <c r="AJ111" s="111">
        <v>21900000</v>
      </c>
      <c r="AK111" s="97">
        <v>2</v>
      </c>
      <c r="AL111" s="97">
        <f t="shared" si="40"/>
        <v>678</v>
      </c>
      <c r="AM111" s="115">
        <f t="shared" si="10"/>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 t="shared" si="43"/>
        <v>8895.0582147945224</v>
      </c>
      <c r="W112" s="32">
        <f t="shared" si="46"/>
        <v>9072.9593790904128</v>
      </c>
      <c r="X112" s="32">
        <f t="shared" si="47"/>
        <v>9250.8605433863031</v>
      </c>
      <c r="Z112">
        <v>87</v>
      </c>
      <c r="AH112" s="97">
        <v>92</v>
      </c>
      <c r="AI112" s="111" t="s">
        <v>4536</v>
      </c>
      <c r="AJ112" s="111">
        <v>-15000000</v>
      </c>
      <c r="AK112" s="97">
        <v>0</v>
      </c>
      <c r="AL112" s="97">
        <f t="shared" si="40"/>
        <v>676</v>
      </c>
      <c r="AM112" s="115">
        <f t="shared" si="10"/>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 t="shared" si="43"/>
        <v>8719.4881786301376</v>
      </c>
      <c r="W113" s="32">
        <f t="shared" si="46"/>
        <v>8893.8779422027401</v>
      </c>
      <c r="X113" s="32">
        <f t="shared" si="47"/>
        <v>9068.2677057753426</v>
      </c>
      <c r="Z113">
        <v>900</v>
      </c>
      <c r="AH113" s="97">
        <v>93</v>
      </c>
      <c r="AI113" s="111" t="s">
        <v>4536</v>
      </c>
      <c r="AJ113" s="111">
        <v>3000000</v>
      </c>
      <c r="AK113" s="97">
        <v>1</v>
      </c>
      <c r="AL113" s="97">
        <f t="shared" si="40"/>
        <v>676</v>
      </c>
      <c r="AM113" s="115">
        <f t="shared" si="10"/>
        <v>2028000000</v>
      </c>
      <c r="AN113" s="97"/>
    </row>
    <row r="114" spans="6:46">
      <c r="G114" s="94"/>
      <c r="H114" s="94"/>
      <c r="I114" s="94"/>
      <c r="J114" s="94"/>
      <c r="K114" s="166" t="s">
        <v>4220</v>
      </c>
      <c r="L114" s="167">
        <v>1100000</v>
      </c>
      <c r="M114" s="167">
        <v>1637000</v>
      </c>
      <c r="N114" s="166">
        <f t="shared" ref="N114:N122" si="48">(M114-L114)*100/L114</f>
        <v>48.81818181818182</v>
      </c>
      <c r="Q114" s="167">
        <v>7802773</v>
      </c>
      <c r="R114" s="210" t="s">
        <v>5292</v>
      </c>
      <c r="S114" s="210">
        <f>S113-1</f>
        <v>277</v>
      </c>
      <c r="T114" s="210" t="s">
        <v>5294</v>
      </c>
      <c r="U114" s="210">
        <v>7100.1</v>
      </c>
      <c r="V114" s="97">
        <f t="shared" si="43"/>
        <v>8716.7441391780831</v>
      </c>
      <c r="W114" s="32">
        <f t="shared" si="46"/>
        <v>8891.0790219616447</v>
      </c>
      <c r="X114" s="32">
        <f t="shared" si="47"/>
        <v>9065.4139047452063</v>
      </c>
      <c r="Z114">
        <v>1094</v>
      </c>
      <c r="AH114" s="97">
        <v>94</v>
      </c>
      <c r="AI114" s="111" t="s">
        <v>4539</v>
      </c>
      <c r="AJ114" s="111">
        <v>-2103736</v>
      </c>
      <c r="AK114" s="97">
        <v>0</v>
      </c>
      <c r="AL114" s="97">
        <f t="shared" si="40"/>
        <v>675</v>
      </c>
      <c r="AM114" s="115">
        <f t="shared" si="10"/>
        <v>-1420021800</v>
      </c>
      <c r="AN114" s="97"/>
    </row>
    <row r="115" spans="6:46">
      <c r="F115" s="94"/>
      <c r="G115" s="94"/>
      <c r="H115" s="94"/>
      <c r="I115" s="94"/>
      <c r="J115" s="94"/>
      <c r="K115" s="5" t="s">
        <v>4486</v>
      </c>
      <c r="L115" s="167">
        <v>1100000</v>
      </c>
      <c r="M115" s="167">
        <v>4748000</v>
      </c>
      <c r="N115" s="166">
        <f t="shared" si="48"/>
        <v>331.63636363636363</v>
      </c>
      <c r="Q115" s="167">
        <v>497886</v>
      </c>
      <c r="R115" s="210" t="s">
        <v>5295</v>
      </c>
      <c r="S115" s="210">
        <f>S114-4</f>
        <v>273</v>
      </c>
      <c r="T115" s="210" t="s">
        <v>5296</v>
      </c>
      <c r="U115" s="210">
        <v>6980.8</v>
      </c>
      <c r="V115" s="97">
        <f t="shared" si="43"/>
        <v>8548.8598093150704</v>
      </c>
      <c r="W115" s="32">
        <f t="shared" si="46"/>
        <v>8719.8370055013711</v>
      </c>
      <c r="X115" s="32">
        <f t="shared" si="47"/>
        <v>8890.8142016876736</v>
      </c>
      <c r="Z115">
        <v>71</v>
      </c>
      <c r="AH115" s="97">
        <v>95</v>
      </c>
      <c r="AI115" s="111" t="s">
        <v>4539</v>
      </c>
      <c r="AJ115" s="111">
        <v>220000</v>
      </c>
      <c r="AK115" s="97">
        <v>3</v>
      </c>
      <c r="AL115" s="97">
        <f t="shared" si="40"/>
        <v>675</v>
      </c>
      <c r="AM115" s="115">
        <f t="shared" si="10"/>
        <v>148500000</v>
      </c>
      <c r="AN115" s="97"/>
      <c r="AR115" s="94"/>
      <c r="AS115" s="94"/>
      <c r="AT115"/>
    </row>
    <row r="116" spans="6:46">
      <c r="F116" s="94"/>
      <c r="G116" s="94"/>
      <c r="H116" s="94"/>
      <c r="I116" s="94"/>
      <c r="J116" s="94"/>
      <c r="K116" s="5" t="s">
        <v>4487</v>
      </c>
      <c r="L116" s="167">
        <v>1100000</v>
      </c>
      <c r="M116" s="167">
        <v>5137000</v>
      </c>
      <c r="N116" s="166">
        <f t="shared" si="48"/>
        <v>367</v>
      </c>
      <c r="Q116" s="167">
        <v>4160802</v>
      </c>
      <c r="R116" s="210" t="s">
        <v>983</v>
      </c>
      <c r="S116" s="210">
        <f>S115-2</f>
        <v>271</v>
      </c>
      <c r="T116" s="210" t="s">
        <v>5304</v>
      </c>
      <c r="U116" s="210">
        <v>7092.5</v>
      </c>
      <c r="V116" s="97">
        <f t="shared" si="43"/>
        <v>8674.7687397260288</v>
      </c>
      <c r="W116" s="32">
        <f t="shared" si="46"/>
        <v>8848.2641145205489</v>
      </c>
      <c r="X116" s="32">
        <f t="shared" si="47"/>
        <v>9021.7594893150708</v>
      </c>
      <c r="Z116">
        <v>584</v>
      </c>
      <c r="AH116" s="97">
        <v>96</v>
      </c>
      <c r="AI116" s="111" t="s">
        <v>4548</v>
      </c>
      <c r="AJ116" s="111">
        <v>4000000</v>
      </c>
      <c r="AK116" s="97">
        <v>1</v>
      </c>
      <c r="AL116" s="97">
        <f t="shared" si="40"/>
        <v>672</v>
      </c>
      <c r="AM116" s="115">
        <f t="shared" si="10"/>
        <v>2688000000</v>
      </c>
      <c r="AN116" s="97"/>
    </row>
    <row r="117" spans="6:46">
      <c r="F117" s="94"/>
      <c r="G117" s="97"/>
      <c r="H117" s="97" t="s">
        <v>5802</v>
      </c>
      <c r="I117" s="91" t="s">
        <v>5813</v>
      </c>
      <c r="J117" s="1">
        <v>260000000</v>
      </c>
      <c r="K117" s="326" t="s">
        <v>4358</v>
      </c>
      <c r="L117" s="167">
        <v>1100000</v>
      </c>
      <c r="M117" s="167">
        <v>4300000</v>
      </c>
      <c r="N117" s="166">
        <f t="shared" si="48"/>
        <v>290.90909090909093</v>
      </c>
      <c r="Q117" s="167">
        <v>5397012</v>
      </c>
      <c r="R117" s="210" t="s">
        <v>5305</v>
      </c>
      <c r="S117" s="210">
        <f>S116-1</f>
        <v>270</v>
      </c>
      <c r="T117" s="210" t="s">
        <v>5320</v>
      </c>
      <c r="U117" s="210">
        <v>6923.5</v>
      </c>
      <c r="V117" s="97">
        <f t="shared" si="43"/>
        <v>8462.7552821917816</v>
      </c>
      <c r="W117" s="32">
        <f t="shared" si="46"/>
        <v>8632.0103878356167</v>
      </c>
      <c r="X117" s="32">
        <f t="shared" si="47"/>
        <v>8801.2654934794537</v>
      </c>
      <c r="Z117">
        <v>776</v>
      </c>
      <c r="AH117" s="97">
        <v>97</v>
      </c>
      <c r="AI117" s="111" t="s">
        <v>4552</v>
      </c>
      <c r="AJ117" s="111">
        <v>-9000000</v>
      </c>
      <c r="AK117" s="97">
        <v>0</v>
      </c>
      <c r="AL117" s="97">
        <f t="shared" si="40"/>
        <v>671</v>
      </c>
      <c r="AM117" s="115">
        <f t="shared" si="10"/>
        <v>-6039000000</v>
      </c>
      <c r="AN117" s="97"/>
      <c r="AP117" t="s">
        <v>25</v>
      </c>
    </row>
    <row r="118" spans="6:46">
      <c r="F118" s="94"/>
      <c r="G118" s="97">
        <f>P45</f>
        <v>1300</v>
      </c>
      <c r="H118" s="97" t="s">
        <v>4220</v>
      </c>
      <c r="I118" s="97">
        <v>102500</v>
      </c>
      <c r="J118" s="1">
        <f>I118*G118</f>
        <v>133250000</v>
      </c>
      <c r="K118" s="327" t="s">
        <v>4375</v>
      </c>
      <c r="L118" s="167">
        <v>1100000</v>
      </c>
      <c r="M118" s="167">
        <v>3191000</v>
      </c>
      <c r="N118" s="166">
        <f t="shared" si="48"/>
        <v>190.09090909090909</v>
      </c>
      <c r="Q118" s="167">
        <v>6908862</v>
      </c>
      <c r="R118" s="210" t="s">
        <v>5318</v>
      </c>
      <c r="S118" s="210">
        <f>S117-11</f>
        <v>259</v>
      </c>
      <c r="T118" s="210" t="s">
        <v>5327</v>
      </c>
      <c r="U118" s="210">
        <v>7301.1</v>
      </c>
      <c r="V118" s="97">
        <f t="shared" si="43"/>
        <v>8862.6952734246588</v>
      </c>
      <c r="W118" s="32">
        <f t="shared" ref="W118:W121" si="49">V118*(1+$W$19/100)</f>
        <v>9039.9491788931518</v>
      </c>
      <c r="X118" s="32">
        <f t="shared" ref="X118:X121" si="50">V118*(1+$X$19/100)</f>
        <v>9217.2030843616449</v>
      </c>
      <c r="Z118">
        <v>942</v>
      </c>
      <c r="AH118" s="97">
        <v>98</v>
      </c>
      <c r="AI118" s="111" t="s">
        <v>4552</v>
      </c>
      <c r="AJ118" s="111">
        <v>13900000</v>
      </c>
      <c r="AK118" s="97">
        <v>2</v>
      </c>
      <c r="AL118" s="97">
        <f t="shared" si="40"/>
        <v>671</v>
      </c>
      <c r="AM118" s="115">
        <f t="shared" si="10"/>
        <v>9326900000</v>
      </c>
      <c r="AN118" s="97"/>
    </row>
    <row r="119" spans="6:46">
      <c r="F119" s="94"/>
      <c r="G119" s="97">
        <f>P43</f>
        <v>15000</v>
      </c>
      <c r="H119" s="97" t="s">
        <v>4358</v>
      </c>
      <c r="I119" s="97">
        <v>13418</v>
      </c>
      <c r="J119" s="1">
        <f>I119*G119</f>
        <v>201270000</v>
      </c>
      <c r="K119" s="327" t="s">
        <v>4488</v>
      </c>
      <c r="L119" s="167">
        <v>1100000</v>
      </c>
      <c r="M119" s="167">
        <v>5623000</v>
      </c>
      <c r="N119" s="166">
        <f t="shared" si="48"/>
        <v>411.18181818181819</v>
      </c>
      <c r="Q119" s="167">
        <v>36895962</v>
      </c>
      <c r="R119" s="210" t="s">
        <v>5328</v>
      </c>
      <c r="S119" s="210">
        <f>S118-1</f>
        <v>258</v>
      </c>
      <c r="T119" s="210" t="s">
        <v>5333</v>
      </c>
      <c r="U119" s="210">
        <v>7372.4</v>
      </c>
      <c r="V119" s="97">
        <f t="shared" si="43"/>
        <v>8943.5897293150701</v>
      </c>
      <c r="W119" s="32">
        <f t="shared" si="49"/>
        <v>9122.461523901371</v>
      </c>
      <c r="X119" s="32">
        <f t="shared" si="50"/>
        <v>9301.3333184876738</v>
      </c>
      <c r="Z119">
        <v>4982</v>
      </c>
      <c r="AH119" s="97">
        <v>99</v>
      </c>
      <c r="AI119" s="111" t="s">
        <v>4557</v>
      </c>
      <c r="AJ119" s="111">
        <v>-8127577</v>
      </c>
      <c r="AK119" s="97">
        <v>1</v>
      </c>
      <c r="AL119" s="97">
        <f t="shared" si="40"/>
        <v>669</v>
      </c>
      <c r="AM119" s="115">
        <f t="shared" si="10"/>
        <v>-5437349013</v>
      </c>
      <c r="AN119" s="97"/>
      <c r="AO119" t="s">
        <v>25</v>
      </c>
      <c r="AQ119" t="s">
        <v>25</v>
      </c>
    </row>
    <row r="120" spans="6:46">
      <c r="F120" s="94"/>
      <c r="G120" s="97"/>
      <c r="H120" s="97"/>
      <c r="I120" s="97" t="s">
        <v>25</v>
      </c>
      <c r="J120" s="1">
        <v>0</v>
      </c>
      <c r="K120" s="326" t="s">
        <v>4362</v>
      </c>
      <c r="L120" s="167">
        <v>1100000</v>
      </c>
      <c r="M120" s="167">
        <v>7728000</v>
      </c>
      <c r="N120" s="166">
        <f t="shared" si="48"/>
        <v>602.5454545454545</v>
      </c>
      <c r="Q120" s="167">
        <v>25972060</v>
      </c>
      <c r="R120" s="210" t="s">
        <v>5342</v>
      </c>
      <c r="S120" s="210">
        <f>S119-3</f>
        <v>255</v>
      </c>
      <c r="T120" s="210" t="s">
        <v>5436</v>
      </c>
      <c r="U120" s="210">
        <v>7557.6</v>
      </c>
      <c r="V120" s="97">
        <f t="shared" si="43"/>
        <v>9150.8663145205501</v>
      </c>
      <c r="W120" s="32">
        <f t="shared" si="49"/>
        <v>9333.8836408109619</v>
      </c>
      <c r="X120" s="32">
        <f t="shared" si="50"/>
        <v>9516.9009671013719</v>
      </c>
      <c r="Z120">
        <v>3421</v>
      </c>
      <c r="AH120" s="97">
        <v>100</v>
      </c>
      <c r="AI120" s="111" t="s">
        <v>3675</v>
      </c>
      <c r="AJ120" s="111">
        <v>15792549</v>
      </c>
      <c r="AK120" s="97">
        <v>3</v>
      </c>
      <c r="AL120" s="97">
        <f t="shared" si="40"/>
        <v>668</v>
      </c>
      <c r="AM120" s="115">
        <f t="shared" si="10"/>
        <v>10549422732</v>
      </c>
      <c r="AN120" s="97"/>
      <c r="AO120" t="s">
        <v>25</v>
      </c>
      <c r="AP120" t="s">
        <v>25</v>
      </c>
    </row>
    <row r="121" spans="6:46">
      <c r="F121" s="94"/>
      <c r="G121" s="97"/>
      <c r="H121" s="97"/>
      <c r="I121" s="97"/>
      <c r="J121" s="1">
        <v>0</v>
      </c>
      <c r="K121" s="327" t="s">
        <v>4490</v>
      </c>
      <c r="L121" s="167">
        <v>1100000</v>
      </c>
      <c r="M121" s="167">
        <v>2904000</v>
      </c>
      <c r="N121" s="166">
        <f t="shared" si="48"/>
        <v>164</v>
      </c>
      <c r="Q121" s="167">
        <v>3833391.0801064861</v>
      </c>
      <c r="R121" s="210" t="s">
        <v>5437</v>
      </c>
      <c r="S121" s="210">
        <f>S120-40</f>
        <v>215</v>
      </c>
      <c r="T121" s="210" t="s">
        <v>5752</v>
      </c>
      <c r="U121" s="210">
        <v>7159.6</v>
      </c>
      <c r="V121" s="97">
        <f t="shared" si="43"/>
        <v>8449.269536438358</v>
      </c>
      <c r="W121" s="32">
        <f t="shared" si="49"/>
        <v>8618.2549271671251</v>
      </c>
      <c r="X121" s="32">
        <f t="shared" si="50"/>
        <v>8787.2403178958921</v>
      </c>
      <c r="Z121">
        <v>533</v>
      </c>
      <c r="AH121" s="97">
        <v>101</v>
      </c>
      <c r="AI121" s="111" t="s">
        <v>4561</v>
      </c>
      <c r="AJ121" s="111">
        <v>8800000</v>
      </c>
      <c r="AK121" s="97">
        <v>0</v>
      </c>
      <c r="AL121" s="97">
        <f t="shared" ref="AL121:AL126" si="51">AL122+AK121</f>
        <v>665</v>
      </c>
      <c r="AM121" s="115">
        <f t="shared" ref="AM121:AM144" si="52">AJ121*AL121</f>
        <v>5852000000</v>
      </c>
      <c r="AN121" s="97"/>
      <c r="AP121" t="s">
        <v>25</v>
      </c>
    </row>
    <row r="122" spans="6:46" ht="17.25" customHeight="1">
      <c r="G122" s="97"/>
      <c r="H122" s="97" t="s">
        <v>938</v>
      </c>
      <c r="I122" s="148">
        <f>J118+J119+J120+J121-J117</f>
        <v>74520000</v>
      </c>
      <c r="J122" s="1">
        <v>0</v>
      </c>
      <c r="K122" s="255" t="s">
        <v>1070</v>
      </c>
      <c r="L122" s="167">
        <v>1100000</v>
      </c>
      <c r="M122" s="167">
        <v>3400000</v>
      </c>
      <c r="N122" s="166">
        <f t="shared" si="48"/>
        <v>209.09090909090909</v>
      </c>
      <c r="Q122" s="167">
        <v>1131325.9005020538</v>
      </c>
      <c r="R122" s="210" t="s">
        <v>5459</v>
      </c>
      <c r="S122" s="210">
        <f>S121-19</f>
        <v>196</v>
      </c>
      <c r="T122" s="210" t="s">
        <v>5584</v>
      </c>
      <c r="U122" s="210">
        <v>8280.2000000000007</v>
      </c>
      <c r="V122" s="97">
        <f t="shared" si="43"/>
        <v>9651.0381523287688</v>
      </c>
      <c r="W122" s="32">
        <f t="shared" ref="W122" si="53">V122*(1+$W$19/100)</f>
        <v>9844.0589153753444</v>
      </c>
      <c r="X122" s="32">
        <f t="shared" ref="X122" si="54">V122*(1+$X$19/100)</f>
        <v>10037.07967842192</v>
      </c>
      <c r="AA122">
        <v>136</v>
      </c>
      <c r="AH122" s="119">
        <v>102</v>
      </c>
      <c r="AI122" s="77" t="s">
        <v>4561</v>
      </c>
      <c r="AJ122" s="77">
        <v>13071612</v>
      </c>
      <c r="AK122" s="119">
        <v>1</v>
      </c>
      <c r="AL122" s="119">
        <f t="shared" si="51"/>
        <v>665</v>
      </c>
      <c r="AM122" s="77">
        <f t="shared" si="52"/>
        <v>8692621980</v>
      </c>
      <c r="AN122" s="202" t="s">
        <v>4562</v>
      </c>
    </row>
    <row r="123" spans="6:46">
      <c r="K123" s="236" t="s">
        <v>5411</v>
      </c>
      <c r="Q123" s="167">
        <v>28929761.954513293</v>
      </c>
      <c r="R123" s="210" t="s">
        <v>5592</v>
      </c>
      <c r="S123" s="210">
        <f>S122-77</f>
        <v>119</v>
      </c>
      <c r="T123" s="210" t="s">
        <v>5806</v>
      </c>
      <c r="U123" s="210">
        <v>17019</v>
      </c>
      <c r="V123" s="97">
        <f t="shared" si="43"/>
        <v>18831.313676712332</v>
      </c>
      <c r="W123" s="32">
        <f t="shared" ref="W123" si="55">V123*(1+$W$19/100)</f>
        <v>19207.939950246579</v>
      </c>
      <c r="X123" s="32">
        <f t="shared" ref="X123" si="56">V123*(1+$X$19/100)</f>
        <v>19584.566223780825</v>
      </c>
      <c r="Y123" t="s">
        <v>25</v>
      </c>
      <c r="AA123">
        <v>1692</v>
      </c>
      <c r="AH123" s="87">
        <v>103</v>
      </c>
      <c r="AI123" s="88" t="s">
        <v>4565</v>
      </c>
      <c r="AJ123" s="88">
        <v>16727037</v>
      </c>
      <c r="AK123" s="87">
        <v>0</v>
      </c>
      <c r="AL123" s="87">
        <f t="shared" si="51"/>
        <v>664</v>
      </c>
      <c r="AM123" s="88">
        <f t="shared" si="52"/>
        <v>11106752568</v>
      </c>
      <c r="AN123" s="87" t="s">
        <v>4572</v>
      </c>
    </row>
    <row r="124" spans="6:46">
      <c r="K124" s="236" t="s">
        <v>4519</v>
      </c>
      <c r="Q124" s="167">
        <v>433201621</v>
      </c>
      <c r="R124" s="210" t="s">
        <v>5672</v>
      </c>
      <c r="S124" s="210">
        <f>S123-44</f>
        <v>75</v>
      </c>
      <c r="T124" s="210" t="s">
        <v>5679</v>
      </c>
      <c r="U124" s="210">
        <v>1995.5</v>
      </c>
      <c r="V124" s="97">
        <f t="shared" si="43"/>
        <v>2140.6411890410964</v>
      </c>
      <c r="W124" s="32">
        <f t="shared" ref="W124:W125" si="57">V124*(1+$W$19/100)</f>
        <v>2183.4540128219182</v>
      </c>
      <c r="X124" s="32">
        <f t="shared" ref="X124:X125" si="58">V124*(1+$X$19/100)</f>
        <v>2226.2668366027401</v>
      </c>
      <c r="Y124">
        <v>216287</v>
      </c>
      <c r="Z124" t="s">
        <v>25</v>
      </c>
      <c r="AH124" s="97">
        <v>104</v>
      </c>
      <c r="AI124" s="111" t="s">
        <v>4565</v>
      </c>
      <c r="AJ124" s="111">
        <v>12000000</v>
      </c>
      <c r="AK124" s="97">
        <v>1</v>
      </c>
      <c r="AL124" s="97">
        <f t="shared" si="51"/>
        <v>664</v>
      </c>
      <c r="AM124" s="115">
        <f t="shared" si="52"/>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 t="shared" si="43"/>
        <v>1871.6415013698634</v>
      </c>
      <c r="W125" s="32">
        <f t="shared" si="57"/>
        <v>1909.0743313972607</v>
      </c>
      <c r="X125" s="32">
        <f t="shared" si="58"/>
        <v>1946.5071614246579</v>
      </c>
      <c r="Y125">
        <v>4667</v>
      </c>
      <c r="AH125" s="87">
        <v>105</v>
      </c>
      <c r="AI125" s="88" t="s">
        <v>4502</v>
      </c>
      <c r="AJ125" s="88">
        <v>88697667</v>
      </c>
      <c r="AK125" s="87">
        <v>1</v>
      </c>
      <c r="AL125" s="87">
        <f t="shared" si="51"/>
        <v>663</v>
      </c>
      <c r="AM125" s="88">
        <f t="shared" si="52"/>
        <v>58806553221</v>
      </c>
      <c r="AN125" s="87" t="s">
        <v>4574</v>
      </c>
      <c r="AP125" t="s">
        <v>25</v>
      </c>
    </row>
    <row r="126" spans="6:46">
      <c r="G126" s="210">
        <f>P44</f>
        <v>17250</v>
      </c>
      <c r="H126" s="210" t="s">
        <v>4362</v>
      </c>
      <c r="I126" s="210">
        <v>4386</v>
      </c>
      <c r="J126" s="111">
        <f>G126*I126</f>
        <v>75658500</v>
      </c>
      <c r="Q126" s="167">
        <v>106896832</v>
      </c>
      <c r="R126" s="210" t="s">
        <v>5739</v>
      </c>
      <c r="S126" s="210">
        <f>S125-36</f>
        <v>34</v>
      </c>
      <c r="T126" s="210" t="s">
        <v>5740</v>
      </c>
      <c r="U126" s="210">
        <v>1715</v>
      </c>
      <c r="V126" s="97">
        <f t="shared" si="43"/>
        <v>1785.7989589041097</v>
      </c>
      <c r="W126" s="32">
        <f t="shared" ref="W126" si="59">V126*(1+$W$19/100)</f>
        <v>1821.514938082192</v>
      </c>
      <c r="X126" s="32">
        <f t="shared" ref="X126" si="60">V126*(1+$X$19/100)</f>
        <v>1857.2309172602741</v>
      </c>
      <c r="Y126" s="94">
        <v>62100</v>
      </c>
      <c r="Z126" t="s">
        <v>25</v>
      </c>
      <c r="AH126" s="97">
        <v>106</v>
      </c>
      <c r="AI126" s="111" t="s">
        <v>4505</v>
      </c>
      <c r="AJ126" s="111">
        <v>101000</v>
      </c>
      <c r="AK126" s="97">
        <v>0</v>
      </c>
      <c r="AL126" s="97">
        <f t="shared" si="51"/>
        <v>662</v>
      </c>
      <c r="AM126" s="115">
        <f t="shared" si="52"/>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 t="shared" si="43"/>
        <v>1697.0800767123289</v>
      </c>
      <c r="W127" s="32">
        <f t="shared" ref="W127:W128" si="61">V127*(1+$W$19/100)</f>
        <v>1731.0216782465754</v>
      </c>
      <c r="X127" s="32">
        <f t="shared" ref="X127:X128" si="62">V127*(1+$X$19/100)</f>
        <v>1764.9632797808222</v>
      </c>
      <c r="Y127">
        <v>278514</v>
      </c>
      <c r="AA127" t="s">
        <v>25</v>
      </c>
      <c r="AH127" s="147">
        <v>107</v>
      </c>
      <c r="AI127" s="186" t="s">
        <v>4571</v>
      </c>
      <c r="AJ127" s="186">
        <v>-48200</v>
      </c>
      <c r="AK127" s="147">
        <v>0</v>
      </c>
      <c r="AL127" s="147">
        <f t="shared" ref="AL127:AL177" si="63">AL128+AK127</f>
        <v>662</v>
      </c>
      <c r="AM127" s="186">
        <f t="shared" si="52"/>
        <v>-31908400</v>
      </c>
      <c r="AN127" s="147" t="s">
        <v>4579</v>
      </c>
    </row>
    <row r="128" spans="6:46">
      <c r="G128" s="210"/>
      <c r="H128" s="210"/>
      <c r="I128" s="210"/>
      <c r="J128" s="111"/>
      <c r="Q128" s="167">
        <v>834999909.33089697</v>
      </c>
      <c r="R128" s="210" t="s">
        <v>5746</v>
      </c>
      <c r="S128" s="210">
        <f>S127-1</f>
        <v>32</v>
      </c>
      <c r="T128" s="210" t="s">
        <v>5767</v>
      </c>
      <c r="U128" s="210">
        <v>1567.4</v>
      </c>
      <c r="V128" s="97">
        <f t="shared" si="43"/>
        <v>1629.7009293150688</v>
      </c>
      <c r="W128" s="32">
        <f t="shared" si="61"/>
        <v>1662.2949479013703</v>
      </c>
      <c r="X128" s="32">
        <f t="shared" si="62"/>
        <v>1694.8889664876717</v>
      </c>
      <c r="Y128">
        <v>530747</v>
      </c>
      <c r="AH128" s="87">
        <v>108</v>
      </c>
      <c r="AI128" s="88" t="s">
        <v>4571</v>
      </c>
      <c r="AJ128" s="88">
        <v>39327293</v>
      </c>
      <c r="AK128" s="87">
        <v>4</v>
      </c>
      <c r="AL128" s="147">
        <f t="shared" si="63"/>
        <v>662</v>
      </c>
      <c r="AM128" s="186">
        <f t="shared" si="52"/>
        <v>26034667966</v>
      </c>
      <c r="AN128" s="87" t="s">
        <v>4580</v>
      </c>
    </row>
    <row r="129" spans="7:43">
      <c r="G129" s="210"/>
      <c r="H129" s="210" t="s">
        <v>938</v>
      </c>
      <c r="I129" s="186">
        <f>J126+J127-J125</f>
        <v>26312598</v>
      </c>
      <c r="J129" s="210"/>
      <c r="Q129" s="167">
        <v>107064124.63848837</v>
      </c>
      <c r="R129" s="210" t="s">
        <v>5754</v>
      </c>
      <c r="S129" s="210">
        <f>S128-4</f>
        <v>28</v>
      </c>
      <c r="T129" s="210" t="s">
        <v>5809</v>
      </c>
      <c r="U129" s="210">
        <v>17931.900000000001</v>
      </c>
      <c r="V129" s="97">
        <f t="shared" si="43"/>
        <v>18589.632266301374</v>
      </c>
      <c r="W129" s="32">
        <f t="shared" ref="W129:W139" si="64">V129*(1+$W$19/100)</f>
        <v>18961.4249116274</v>
      </c>
      <c r="X129" s="32">
        <f t="shared" ref="X129:X139" si="65">V129*(1+$X$19/100)</f>
        <v>19333.21755695343</v>
      </c>
      <c r="Y129" s="94"/>
      <c r="Z129" s="94">
        <v>5949</v>
      </c>
      <c r="AH129" s="87">
        <v>109</v>
      </c>
      <c r="AI129" s="88" t="s">
        <v>4594</v>
      </c>
      <c r="AJ129" s="88">
        <v>8749050</v>
      </c>
      <c r="AK129" s="87">
        <v>1</v>
      </c>
      <c r="AL129" s="87">
        <f t="shared" si="63"/>
        <v>658</v>
      </c>
      <c r="AM129" s="88">
        <f t="shared" si="52"/>
        <v>5756874900</v>
      </c>
      <c r="AN129" s="87" t="s">
        <v>4595</v>
      </c>
    </row>
    <row r="130" spans="7:43">
      <c r="K130" t="s">
        <v>25</v>
      </c>
      <c r="Q130" s="167"/>
      <c r="R130" s="210" t="s">
        <v>5768</v>
      </c>
      <c r="S130" s="210">
        <f>S129-9</f>
        <v>19</v>
      </c>
      <c r="T130" s="210" t="s">
        <v>5769</v>
      </c>
      <c r="U130" s="210"/>
      <c r="V130" s="97">
        <f t="shared" si="43"/>
        <v>0</v>
      </c>
      <c r="W130" s="32">
        <f t="shared" si="64"/>
        <v>0</v>
      </c>
      <c r="X130" s="32">
        <f t="shared" si="65"/>
        <v>0</v>
      </c>
      <c r="Y130" s="94">
        <v>83532</v>
      </c>
      <c r="Z130" s="94"/>
      <c r="AA130" s="94"/>
      <c r="AH130" s="97">
        <v>110</v>
      </c>
      <c r="AI130" s="111" t="s">
        <v>4596</v>
      </c>
      <c r="AJ130" s="111">
        <v>60000</v>
      </c>
      <c r="AK130" s="97">
        <v>1</v>
      </c>
      <c r="AL130" s="97">
        <f t="shared" si="63"/>
        <v>657</v>
      </c>
      <c r="AM130" s="115">
        <f t="shared" si="52"/>
        <v>39420000</v>
      </c>
      <c r="AN130" s="97" t="s">
        <v>4597</v>
      </c>
    </row>
    <row r="131" spans="7:43">
      <c r="K131" t="s">
        <v>25</v>
      </c>
      <c r="Q131" s="167" t="s">
        <v>25</v>
      </c>
      <c r="R131" s="210" t="s">
        <v>5770</v>
      </c>
      <c r="S131" s="210">
        <f>S130-1</f>
        <v>18</v>
      </c>
      <c r="T131" s="210" t="s">
        <v>5771</v>
      </c>
      <c r="U131" s="210"/>
      <c r="V131" s="97">
        <f t="shared" si="43"/>
        <v>0</v>
      </c>
      <c r="W131" s="32">
        <f t="shared" si="64"/>
        <v>0</v>
      </c>
      <c r="X131" s="32">
        <f t="shared" si="65"/>
        <v>0</v>
      </c>
      <c r="Y131" s="94">
        <v>807014</v>
      </c>
      <c r="Z131" s="94"/>
      <c r="AA131" s="94"/>
      <c r="AH131" s="20">
        <v>111</v>
      </c>
      <c r="AI131" s="115" t="s">
        <v>4605</v>
      </c>
      <c r="AJ131" s="115">
        <v>4750000</v>
      </c>
      <c r="AK131" s="20">
        <v>0</v>
      </c>
      <c r="AL131" s="97">
        <f t="shared" si="63"/>
        <v>656</v>
      </c>
      <c r="AM131" s="115">
        <f t="shared" si="52"/>
        <v>3116000000</v>
      </c>
      <c r="AN131" s="20"/>
      <c r="AQ131" t="s">
        <v>25</v>
      </c>
    </row>
    <row r="132" spans="7:43">
      <c r="G132" s="210"/>
      <c r="H132" s="210" t="s">
        <v>5636</v>
      </c>
      <c r="I132" s="213" t="s">
        <v>5814</v>
      </c>
      <c r="J132" s="1">
        <v>79922415</v>
      </c>
      <c r="K132" t="s">
        <v>25</v>
      </c>
      <c r="P132" t="s">
        <v>25</v>
      </c>
      <c r="Q132" s="167"/>
      <c r="R132" s="210" t="s">
        <v>5772</v>
      </c>
      <c r="S132" s="210">
        <f>S131-1</f>
        <v>17</v>
      </c>
      <c r="T132" s="210" t="s">
        <v>5773</v>
      </c>
      <c r="U132" s="210"/>
      <c r="V132" s="97">
        <f t="shared" si="43"/>
        <v>0</v>
      </c>
      <c r="W132" s="32">
        <f t="shared" si="64"/>
        <v>0</v>
      </c>
      <c r="X132" s="32">
        <f t="shared" si="65"/>
        <v>0</v>
      </c>
      <c r="Y132" s="94">
        <v>460560</v>
      </c>
      <c r="Z132" s="94"/>
      <c r="AA132" s="94"/>
      <c r="AH132" s="87">
        <v>112</v>
      </c>
      <c r="AI132" s="88" t="s">
        <v>4605</v>
      </c>
      <c r="AJ132" s="88">
        <v>13101160</v>
      </c>
      <c r="AK132" s="87">
        <v>1</v>
      </c>
      <c r="AL132" s="87">
        <f t="shared" si="63"/>
        <v>656</v>
      </c>
      <c r="AM132" s="88">
        <f t="shared" si="52"/>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 t="shared" si="43"/>
        <v>0</v>
      </c>
      <c r="W133" s="32">
        <f t="shared" si="64"/>
        <v>0</v>
      </c>
      <c r="X133" s="32">
        <f t="shared" si="65"/>
        <v>0</v>
      </c>
      <c r="Y133" s="94">
        <v>75644</v>
      </c>
      <c r="Z133" s="94"/>
      <c r="AA133" s="94"/>
      <c r="AH133" s="20">
        <v>113</v>
      </c>
      <c r="AI133" s="115" t="s">
        <v>4607</v>
      </c>
      <c r="AJ133" s="115">
        <v>-980000</v>
      </c>
      <c r="AK133" s="20">
        <v>0</v>
      </c>
      <c r="AL133" s="97">
        <f t="shared" si="63"/>
        <v>655</v>
      </c>
      <c r="AM133" s="115">
        <f t="shared" si="52"/>
        <v>-641900000</v>
      </c>
      <c r="AN133" s="20"/>
    </row>
    <row r="134" spans="7:43">
      <c r="G134" s="1">
        <f>P45</f>
        <v>1300</v>
      </c>
      <c r="H134" s="210" t="s">
        <v>4220</v>
      </c>
      <c r="I134" s="210">
        <v>241029</v>
      </c>
      <c r="J134" s="1">
        <f>I134*G134</f>
        <v>313337700</v>
      </c>
      <c r="Q134" s="167"/>
      <c r="R134" s="210" t="s">
        <v>5782</v>
      </c>
      <c r="S134" s="210">
        <f>S133-1</f>
        <v>12</v>
      </c>
      <c r="T134" s="210" t="s">
        <v>5783</v>
      </c>
      <c r="U134" s="210"/>
      <c r="V134" s="97">
        <f t="shared" si="43"/>
        <v>0</v>
      </c>
      <c r="W134" s="32">
        <f t="shared" si="64"/>
        <v>0</v>
      </c>
      <c r="X134" s="32">
        <f t="shared" si="65"/>
        <v>0</v>
      </c>
      <c r="Y134" s="94">
        <v>189767</v>
      </c>
      <c r="Z134" s="94"/>
      <c r="AA134" s="94"/>
      <c r="AH134" s="87">
        <v>114</v>
      </c>
      <c r="AI134" s="88" t="s">
        <v>4607</v>
      </c>
      <c r="AJ134" s="88">
        <v>13301790</v>
      </c>
      <c r="AK134" s="87">
        <v>0</v>
      </c>
      <c r="AL134" s="87">
        <f t="shared" si="63"/>
        <v>655</v>
      </c>
      <c r="AM134" s="88">
        <f t="shared" si="52"/>
        <v>8712672450</v>
      </c>
      <c r="AN134" s="87" t="s">
        <v>4608</v>
      </c>
      <c r="AQ134" t="s">
        <v>25</v>
      </c>
    </row>
    <row r="135" spans="7:43">
      <c r="G135" s="1">
        <f>P44</f>
        <v>17250</v>
      </c>
      <c r="H135" s="210" t="s">
        <v>4362</v>
      </c>
      <c r="I135" s="210">
        <v>2535</v>
      </c>
      <c r="J135" s="1">
        <f>I135*G135</f>
        <v>43728750</v>
      </c>
      <c r="K135" t="s">
        <v>25</v>
      </c>
      <c r="Q135" s="167"/>
      <c r="R135" s="210" t="s">
        <v>5784</v>
      </c>
      <c r="S135" s="210">
        <f>S134-1</f>
        <v>11</v>
      </c>
      <c r="T135" s="210" t="s">
        <v>5838</v>
      </c>
      <c r="U135" s="210">
        <v>1328</v>
      </c>
      <c r="V135" s="97">
        <f t="shared" si="43"/>
        <v>1359.3917369863013</v>
      </c>
      <c r="W135" s="32">
        <f t="shared" si="64"/>
        <v>1386.5795717260273</v>
      </c>
      <c r="X135" s="32">
        <f t="shared" si="65"/>
        <v>1413.7674064657535</v>
      </c>
      <c r="Y135" s="94">
        <v>19866</v>
      </c>
      <c r="Z135" s="94"/>
      <c r="AA135" s="94"/>
      <c r="AH135" s="20">
        <v>115</v>
      </c>
      <c r="AI135" s="115" t="s">
        <v>4607</v>
      </c>
      <c r="AJ135" s="115">
        <v>404000</v>
      </c>
      <c r="AK135" s="20">
        <v>5</v>
      </c>
      <c r="AL135" s="97">
        <f t="shared" si="63"/>
        <v>655</v>
      </c>
      <c r="AM135" s="115">
        <f t="shared" si="52"/>
        <v>264620000</v>
      </c>
      <c r="AN135" s="20" t="s">
        <v>4614</v>
      </c>
    </row>
    <row r="136" spans="7:43">
      <c r="G136" s="1"/>
      <c r="H136" s="210" t="s">
        <v>25</v>
      </c>
      <c r="I136" s="210"/>
      <c r="J136" s="1"/>
      <c r="P136" t="s">
        <v>25</v>
      </c>
      <c r="Q136" s="167"/>
      <c r="R136" s="210" t="s">
        <v>5802</v>
      </c>
      <c r="S136" s="210">
        <f>S135-20</f>
        <v>-9</v>
      </c>
      <c r="T136" s="210" t="s">
        <v>5812</v>
      </c>
      <c r="U136" s="210"/>
      <c r="V136" s="97">
        <f t="shared" si="43"/>
        <v>0</v>
      </c>
      <c r="W136" s="32">
        <f t="shared" si="64"/>
        <v>0</v>
      </c>
      <c r="X136" s="32">
        <f t="shared" si="65"/>
        <v>0</v>
      </c>
      <c r="Y136" s="94"/>
      <c r="Z136" s="94"/>
      <c r="AA136" s="94">
        <v>4249</v>
      </c>
      <c r="AH136" s="87">
        <v>116</v>
      </c>
      <c r="AI136" s="88" t="s">
        <v>4624</v>
      </c>
      <c r="AJ136" s="88">
        <v>4291628</v>
      </c>
      <c r="AK136" s="87">
        <v>2</v>
      </c>
      <c r="AL136" s="87">
        <f t="shared" si="63"/>
        <v>650</v>
      </c>
      <c r="AM136" s="88">
        <f t="shared" si="52"/>
        <v>2789558200</v>
      </c>
      <c r="AN136" s="87" t="s">
        <v>4625</v>
      </c>
    </row>
    <row r="137" spans="7:43">
      <c r="G137" s="210"/>
      <c r="H137" s="210"/>
      <c r="I137" s="186">
        <f>J137-J132</f>
        <v>277144035</v>
      </c>
      <c r="J137" s="1">
        <f>SUM(J134:J136)</f>
        <v>357066450</v>
      </c>
      <c r="Q137" s="167"/>
      <c r="R137" s="210" t="s">
        <v>5810</v>
      </c>
      <c r="S137" s="210">
        <f>S136-2</f>
        <v>-11</v>
      </c>
      <c r="T137" s="210" t="s">
        <v>5811</v>
      </c>
      <c r="U137" s="210"/>
      <c r="V137" s="97">
        <f t="shared" si="43"/>
        <v>0</v>
      </c>
      <c r="W137" s="32">
        <f t="shared" si="64"/>
        <v>0</v>
      </c>
      <c r="X137" s="32">
        <f t="shared" si="65"/>
        <v>0</v>
      </c>
      <c r="Y137" s="94"/>
      <c r="Z137" s="94">
        <v>15</v>
      </c>
      <c r="AA137" s="94"/>
      <c r="AH137" s="20">
        <v>117</v>
      </c>
      <c r="AI137" s="115" t="s">
        <v>4627</v>
      </c>
      <c r="AJ137" s="115">
        <v>1000</v>
      </c>
      <c r="AK137" s="20">
        <v>5</v>
      </c>
      <c r="AL137" s="20">
        <f t="shared" si="63"/>
        <v>648</v>
      </c>
      <c r="AM137" s="115">
        <f t="shared" si="52"/>
        <v>648000</v>
      </c>
      <c r="AN137" s="20"/>
    </row>
    <row r="138" spans="7:43">
      <c r="G138" s="210"/>
      <c r="H138" s="210"/>
      <c r="I138" s="210" t="s">
        <v>902</v>
      </c>
      <c r="J138" s="210" t="s">
        <v>6</v>
      </c>
      <c r="K138" s="94"/>
      <c r="L138" s="94"/>
      <c r="M138" t="s">
        <v>25</v>
      </c>
      <c r="Q138" s="167"/>
      <c r="R138" s="210" t="s">
        <v>5821</v>
      </c>
      <c r="S138" s="210">
        <f>S137-4</f>
        <v>-15</v>
      </c>
      <c r="T138" s="210" t="s">
        <v>5822</v>
      </c>
      <c r="U138" s="210">
        <v>16075</v>
      </c>
      <c r="V138" s="97">
        <f t="shared" si="43"/>
        <v>16134.367397260276</v>
      </c>
      <c r="W138" s="32">
        <f t="shared" si="64"/>
        <v>16457.054745205482</v>
      </c>
      <c r="X138" s="32">
        <f t="shared" si="65"/>
        <v>16779.742093150686</v>
      </c>
      <c r="Y138" s="94"/>
      <c r="Z138" s="94">
        <v>35986</v>
      </c>
      <c r="AA138" s="94"/>
      <c r="AH138" s="119">
        <v>118</v>
      </c>
      <c r="AI138" s="77" t="s">
        <v>4635</v>
      </c>
      <c r="AJ138" s="77">
        <v>8739459</v>
      </c>
      <c r="AK138" s="119">
        <v>2</v>
      </c>
      <c r="AL138" s="119">
        <f t="shared" si="63"/>
        <v>643</v>
      </c>
      <c r="AM138" s="77">
        <f t="shared" si="52"/>
        <v>5619472137</v>
      </c>
      <c r="AN138" s="119" t="s">
        <v>4595</v>
      </c>
    </row>
    <row r="139" spans="7:43">
      <c r="K139" s="94"/>
      <c r="Q139" s="167"/>
      <c r="R139" s="210" t="s">
        <v>5824</v>
      </c>
      <c r="S139" s="210">
        <f>S138-1</f>
        <v>-16</v>
      </c>
      <c r="T139" s="210" t="s">
        <v>5825</v>
      </c>
      <c r="U139" s="210">
        <v>16382</v>
      </c>
      <c r="V139" s="97">
        <f t="shared" si="43"/>
        <v>16429.934180821921</v>
      </c>
      <c r="W139" s="32">
        <f t="shared" si="64"/>
        <v>16758.532864438359</v>
      </c>
      <c r="X139" s="32">
        <f t="shared" si="65"/>
        <v>17087.1315480548</v>
      </c>
      <c r="Y139" s="94"/>
      <c r="Z139" s="94">
        <v>13527</v>
      </c>
      <c r="AA139" s="94"/>
      <c r="AB139" t="s">
        <v>25</v>
      </c>
      <c r="AH139" s="119">
        <v>119</v>
      </c>
      <c r="AI139" s="77" t="s">
        <v>4636</v>
      </c>
      <c r="AJ139" s="77">
        <v>17595278</v>
      </c>
      <c r="AK139" s="119">
        <v>1</v>
      </c>
      <c r="AL139" s="119">
        <f t="shared" si="63"/>
        <v>641</v>
      </c>
      <c r="AM139" s="77">
        <f t="shared" si="52"/>
        <v>11278573198</v>
      </c>
      <c r="AN139" s="119" t="s">
        <v>4638</v>
      </c>
      <c r="AQ139" t="s">
        <v>25</v>
      </c>
    </row>
    <row r="140" spans="7:43">
      <c r="G140" s="210"/>
      <c r="H140" s="210" t="s">
        <v>5635</v>
      </c>
      <c r="I140" s="213" t="s">
        <v>5548</v>
      </c>
      <c r="J140" s="1">
        <v>36319143</v>
      </c>
      <c r="K140" s="94"/>
      <c r="L140" s="94"/>
      <c r="P140" s="112"/>
      <c r="Q140" s="167"/>
      <c r="R140" s="210" t="s">
        <v>5826</v>
      </c>
      <c r="S140" s="210">
        <f>S139-1</f>
        <v>-17</v>
      </c>
      <c r="T140" s="210" t="s">
        <v>5827</v>
      </c>
      <c r="U140" s="210">
        <v>16692</v>
      </c>
      <c r="V140" s="97">
        <f t="shared" si="43"/>
        <v>16728.036427397259</v>
      </c>
      <c r="W140" s="32">
        <f t="shared" ref="W140:W149" si="66">V140*(1+$W$19/100)</f>
        <v>17062.597155945205</v>
      </c>
      <c r="X140" s="32">
        <f t="shared" ref="X140:X149" si="67">V140*(1+$X$19/100)</f>
        <v>17397.15788449315</v>
      </c>
      <c r="Y140" s="94"/>
      <c r="Z140" s="94">
        <v>11258</v>
      </c>
      <c r="AA140" s="94"/>
      <c r="AH140" s="119">
        <v>120</v>
      </c>
      <c r="AI140" s="77" t="s">
        <v>4637</v>
      </c>
      <c r="AJ140" s="77">
        <v>13335309</v>
      </c>
      <c r="AK140" s="119">
        <v>13</v>
      </c>
      <c r="AL140" s="119">
        <f t="shared" si="63"/>
        <v>640</v>
      </c>
      <c r="AM140" s="77">
        <f t="shared" si="52"/>
        <v>8534597760</v>
      </c>
      <c r="AN140" s="119" t="s">
        <v>4608</v>
      </c>
    </row>
    <row r="141" spans="7:43">
      <c r="G141" s="1">
        <f>P45</f>
        <v>1300</v>
      </c>
      <c r="H141" s="210" t="s">
        <v>4220</v>
      </c>
      <c r="I141" s="210">
        <v>68595</v>
      </c>
      <c r="J141" s="1">
        <f>G141*I141</f>
        <v>89173500</v>
      </c>
      <c r="K141" s="94"/>
      <c r="L141" s="94"/>
      <c r="M141" s="94"/>
      <c r="N141" s="94"/>
      <c r="O141" s="94"/>
      <c r="Q141" s="167"/>
      <c r="R141" s="210" t="s">
        <v>5826</v>
      </c>
      <c r="S141" s="210">
        <f>S140</f>
        <v>-17</v>
      </c>
      <c r="T141" s="210" t="s">
        <v>5828</v>
      </c>
      <c r="U141" s="210">
        <v>14014</v>
      </c>
      <c r="V141" s="97">
        <f t="shared" si="43"/>
        <v>14044.254882191781</v>
      </c>
      <c r="W141" s="32">
        <f t="shared" si="66"/>
        <v>14325.139979835616</v>
      </c>
      <c r="X141" s="32">
        <f t="shared" si="67"/>
        <v>14606.025077479453</v>
      </c>
      <c r="Y141" s="94"/>
      <c r="Z141" s="94"/>
      <c r="AA141" s="94">
        <v>1446</v>
      </c>
      <c r="AH141" s="159">
        <v>121</v>
      </c>
      <c r="AI141" s="224" t="s">
        <v>4688</v>
      </c>
      <c r="AJ141" s="224">
        <v>50000000</v>
      </c>
      <c r="AK141" s="159">
        <v>11</v>
      </c>
      <c r="AL141" s="159">
        <f t="shared" si="63"/>
        <v>627</v>
      </c>
      <c r="AM141" s="224">
        <f t="shared" si="52"/>
        <v>31350000000</v>
      </c>
      <c r="AN141" s="159" t="s">
        <v>4690</v>
      </c>
      <c r="AP141" t="s">
        <v>25</v>
      </c>
    </row>
    <row r="142" spans="7:43">
      <c r="G142" s="210">
        <f>P44</f>
        <v>17250</v>
      </c>
      <c r="H142" s="210" t="s">
        <v>4362</v>
      </c>
      <c r="I142" s="210">
        <v>1703</v>
      </c>
      <c r="J142" s="1">
        <f>G142*I142</f>
        <v>29376750</v>
      </c>
      <c r="K142" s="94"/>
      <c r="L142" s="94"/>
      <c r="M142" s="94"/>
      <c r="N142" s="94"/>
      <c r="O142" s="94"/>
      <c r="Q142" s="167"/>
      <c r="R142" s="210" t="s">
        <v>5829</v>
      </c>
      <c r="S142" s="210">
        <f>S141-1</f>
        <v>-18</v>
      </c>
      <c r="T142" s="210" t="s">
        <v>5830</v>
      </c>
      <c r="U142" s="210">
        <v>16734</v>
      </c>
      <c r="V142" s="97">
        <f t="shared" si="43"/>
        <v>16757.290060273976</v>
      </c>
      <c r="W142" s="32">
        <f t="shared" si="66"/>
        <v>17092.435861479455</v>
      </c>
      <c r="X142" s="32">
        <f t="shared" si="67"/>
        <v>17427.581662684934</v>
      </c>
      <c r="Y142" s="94"/>
      <c r="Z142" s="94">
        <v>10816</v>
      </c>
      <c r="AA142" s="94"/>
      <c r="AH142" s="20">
        <v>122</v>
      </c>
      <c r="AI142" s="115" t="s">
        <v>959</v>
      </c>
      <c r="AJ142" s="115">
        <v>30000</v>
      </c>
      <c r="AK142" s="20">
        <v>3</v>
      </c>
      <c r="AL142" s="20">
        <f t="shared" si="63"/>
        <v>616</v>
      </c>
      <c r="AM142" s="115">
        <f t="shared" si="52"/>
        <v>18480000</v>
      </c>
      <c r="AN142" s="20"/>
    </row>
    <row r="143" spans="7:43">
      <c r="G143" s="210"/>
      <c r="H143" s="210"/>
      <c r="I143" s="186">
        <f>J143-J140</f>
        <v>82231107</v>
      </c>
      <c r="J143" s="1">
        <f>SUM(J141:J142)</f>
        <v>118550250</v>
      </c>
      <c r="K143" s="94"/>
      <c r="L143" s="94" t="s">
        <v>25</v>
      </c>
      <c r="M143" s="94"/>
      <c r="N143" s="94"/>
      <c r="O143" s="94"/>
      <c r="Q143" s="167" t="s">
        <v>25</v>
      </c>
      <c r="R143" s="210" t="s">
        <v>5834</v>
      </c>
      <c r="S143" s="210">
        <f>S142-4</f>
        <v>-22</v>
      </c>
      <c r="T143" s="210" t="s">
        <v>5835</v>
      </c>
      <c r="U143" s="210">
        <v>17233.7</v>
      </c>
      <c r="V143" s="97">
        <f t="shared" si="43"/>
        <v>17204.804042739728</v>
      </c>
      <c r="W143" s="32">
        <f t="shared" si="66"/>
        <v>17548.900123594522</v>
      </c>
      <c r="X143" s="32">
        <f t="shared" si="67"/>
        <v>17892.996204449319</v>
      </c>
      <c r="Y143" s="94"/>
      <c r="Z143" s="94">
        <v>1351</v>
      </c>
      <c r="AA143" s="94"/>
      <c r="AH143" s="20">
        <v>123</v>
      </c>
      <c r="AI143" s="115" t="s">
        <v>4749</v>
      </c>
      <c r="AJ143" s="115">
        <v>600000</v>
      </c>
      <c r="AK143" s="20">
        <v>1</v>
      </c>
      <c r="AL143" s="20">
        <f t="shared" si="63"/>
        <v>613</v>
      </c>
      <c r="AM143" s="115">
        <f t="shared" si="52"/>
        <v>367800000</v>
      </c>
      <c r="AN143" s="20"/>
    </row>
    <row r="144" spans="7:43">
      <c r="G144" s="210"/>
      <c r="H144" s="210"/>
      <c r="I144" s="210" t="s">
        <v>902</v>
      </c>
      <c r="J144" s="210" t="s">
        <v>6</v>
      </c>
      <c r="L144" s="94"/>
      <c r="M144" s="94"/>
      <c r="N144" s="94"/>
      <c r="O144" s="94"/>
      <c r="Q144" s="167"/>
      <c r="R144" s="210" t="s">
        <v>5836</v>
      </c>
      <c r="S144" s="210">
        <f>S143-1</f>
        <v>-23</v>
      </c>
      <c r="T144" s="210" t="s">
        <v>5837</v>
      </c>
      <c r="U144" s="210">
        <v>17001</v>
      </c>
      <c r="V144" s="97">
        <f t="shared" si="43"/>
        <v>16959.452350684933</v>
      </c>
      <c r="W144" s="32">
        <f t="shared" si="66"/>
        <v>17298.641397698633</v>
      </c>
      <c r="X144" s="32">
        <f t="shared" si="67"/>
        <v>17637.83044471233</v>
      </c>
      <c r="Y144" s="94"/>
      <c r="Z144" s="94">
        <v>363</v>
      </c>
      <c r="AA144" s="94"/>
      <c r="AH144" s="20">
        <v>124</v>
      </c>
      <c r="AI144" s="115" t="s">
        <v>4752</v>
      </c>
      <c r="AJ144" s="115">
        <v>30000</v>
      </c>
      <c r="AK144" s="20">
        <v>3</v>
      </c>
      <c r="AL144" s="20">
        <f t="shared" si="63"/>
        <v>612</v>
      </c>
      <c r="AM144" s="115">
        <f t="shared" si="52"/>
        <v>18360000</v>
      </c>
      <c r="AN144" s="20"/>
    </row>
    <row r="145" spans="5:44">
      <c r="G145" s="41"/>
      <c r="H145" s="41"/>
      <c r="I145" s="41"/>
      <c r="J145" s="41"/>
      <c r="K145" s="94"/>
      <c r="L145" s="94"/>
      <c r="N145" s="94"/>
      <c r="O145" s="94"/>
      <c r="Q145" s="167"/>
      <c r="R145" s="210"/>
      <c r="S145" s="210"/>
      <c r="T145" s="210"/>
      <c r="U145" s="210"/>
      <c r="V145" s="97"/>
      <c r="W145" s="32"/>
      <c r="X145" s="32"/>
      <c r="Y145" s="94"/>
      <c r="Z145" s="94"/>
      <c r="AA145" s="94"/>
      <c r="AH145" s="20">
        <v>125</v>
      </c>
      <c r="AI145" s="115" t="s">
        <v>4758</v>
      </c>
      <c r="AJ145" s="115">
        <v>2250000</v>
      </c>
      <c r="AK145" s="20">
        <v>1</v>
      </c>
      <c r="AL145" s="20">
        <f t="shared" si="63"/>
        <v>609</v>
      </c>
      <c r="AM145" s="115">
        <f>AJ145*AL145</f>
        <v>1370250000</v>
      </c>
      <c r="AN145" s="20"/>
      <c r="AR145" t="s">
        <v>25</v>
      </c>
    </row>
    <row r="146" spans="5:44">
      <c r="N146" s="94"/>
      <c r="O146" s="94"/>
      <c r="Q146" s="167"/>
      <c r="R146" s="210"/>
      <c r="S146" s="210"/>
      <c r="T146" s="210"/>
      <c r="U146" s="210"/>
      <c r="V146" s="97"/>
      <c r="W146" s="32"/>
      <c r="X146" s="32"/>
      <c r="Y146" s="94"/>
      <c r="Z146" s="94"/>
      <c r="AA146" s="94"/>
      <c r="AH146" s="23">
        <v>126</v>
      </c>
      <c r="AI146" s="35" t="s">
        <v>4763</v>
      </c>
      <c r="AJ146" s="35">
        <v>-31412200</v>
      </c>
      <c r="AK146" s="23">
        <v>1</v>
      </c>
      <c r="AL146" s="20">
        <f t="shared" si="63"/>
        <v>608</v>
      </c>
      <c r="AM146" s="35">
        <f>AJ146*AL146</f>
        <v>-19098617600</v>
      </c>
      <c r="AN146" s="23" t="s">
        <v>4751</v>
      </c>
    </row>
    <row r="147" spans="5:44">
      <c r="Q147" s="167"/>
      <c r="R147" s="210"/>
      <c r="S147" s="210"/>
      <c r="T147" s="210"/>
      <c r="U147" s="210"/>
      <c r="V147" s="97">
        <f t="shared" si="43"/>
        <v>0</v>
      </c>
      <c r="W147" s="32">
        <f t="shared" si="66"/>
        <v>0</v>
      </c>
      <c r="X147" s="32">
        <f t="shared" si="67"/>
        <v>0</v>
      </c>
      <c r="Y147" s="94"/>
      <c r="Z147" s="94"/>
      <c r="AA147" s="94"/>
      <c r="AH147" s="20">
        <v>127</v>
      </c>
      <c r="AI147" s="115" t="s">
        <v>4772</v>
      </c>
      <c r="AJ147" s="115">
        <v>70000</v>
      </c>
      <c r="AK147" s="20">
        <v>9</v>
      </c>
      <c r="AL147" s="20">
        <f t="shared" si="63"/>
        <v>607</v>
      </c>
      <c r="AM147" s="115">
        <f>AJ147*AL147</f>
        <v>42490000</v>
      </c>
      <c r="AN147" s="20"/>
    </row>
    <row r="148" spans="5:44">
      <c r="G148" s="210"/>
      <c r="H148" s="210" t="s">
        <v>5637</v>
      </c>
      <c r="I148" s="213" t="s">
        <v>5815</v>
      </c>
      <c r="J148" s="1">
        <v>150000000</v>
      </c>
      <c r="P148" s="112"/>
      <c r="Q148" s="167" t="s">
        <v>25</v>
      </c>
      <c r="R148" s="210"/>
      <c r="S148" s="210"/>
      <c r="T148" s="210"/>
      <c r="U148" s="210"/>
      <c r="V148" s="97">
        <f t="shared" si="43"/>
        <v>0</v>
      </c>
      <c r="W148" s="32">
        <f t="shared" si="66"/>
        <v>0</v>
      </c>
      <c r="X148" s="32">
        <f t="shared" si="67"/>
        <v>0</v>
      </c>
      <c r="Y148" s="94" t="s">
        <v>25</v>
      </c>
      <c r="Z148" s="94"/>
      <c r="AH148" s="97">
        <v>128</v>
      </c>
      <c r="AI148" s="111" t="s">
        <v>4779</v>
      </c>
      <c r="AJ148" s="111">
        <v>20000</v>
      </c>
      <c r="AK148" s="97">
        <v>10</v>
      </c>
      <c r="AL148" s="20">
        <f t="shared" si="63"/>
        <v>598</v>
      </c>
      <c r="AM148" s="115">
        <f>AJ148*AL148</f>
        <v>11960000</v>
      </c>
      <c r="AN148" s="20"/>
      <c r="AP148" t="s">
        <v>25</v>
      </c>
    </row>
    <row r="149" spans="5:44">
      <c r="G149" s="1">
        <f>P45</f>
        <v>1300</v>
      </c>
      <c r="H149" s="210" t="s">
        <v>4220</v>
      </c>
      <c r="I149" s="210">
        <v>33318</v>
      </c>
      <c r="J149" s="1">
        <f>G149*I149</f>
        <v>43313400</v>
      </c>
      <c r="P149" s="94"/>
      <c r="Q149" s="167"/>
      <c r="R149" s="166"/>
      <c r="S149" s="166"/>
      <c r="T149" s="166" t="s">
        <v>25</v>
      </c>
      <c r="U149" s="166"/>
      <c r="V149" s="97">
        <f t="shared" si="43"/>
        <v>0</v>
      </c>
      <c r="W149" s="32">
        <f t="shared" si="66"/>
        <v>0</v>
      </c>
      <c r="X149" s="32">
        <f t="shared" si="67"/>
        <v>0</v>
      </c>
      <c r="Z149" t="s">
        <v>25</v>
      </c>
      <c r="AA149" s="94" t="s">
        <v>25</v>
      </c>
      <c r="AH149" s="97">
        <v>129</v>
      </c>
      <c r="AI149" s="111" t="s">
        <v>4799</v>
      </c>
      <c r="AJ149" s="111">
        <v>1000000</v>
      </c>
      <c r="AK149" s="97">
        <v>1</v>
      </c>
      <c r="AL149" s="20">
        <f t="shared" si="63"/>
        <v>588</v>
      </c>
      <c r="AM149" s="115">
        <f>AJ149*AL149</f>
        <v>588000000</v>
      </c>
      <c r="AN149" s="20"/>
    </row>
    <row r="150" spans="5:44">
      <c r="E150" s="121"/>
      <c r="G150" s="1">
        <f>P44</f>
        <v>17250</v>
      </c>
      <c r="H150" s="210" t="s">
        <v>4362</v>
      </c>
      <c r="I150" s="210">
        <v>16447</v>
      </c>
      <c r="J150" s="1">
        <f>G150*I150</f>
        <v>283710750</v>
      </c>
      <c r="Q150" s="111">
        <f>SUM(N41:N47)-SUM(Q109:Q149)</f>
        <v>3459384361.99506</v>
      </c>
      <c r="R150" s="110"/>
      <c r="S150" s="110"/>
      <c r="T150" s="110"/>
      <c r="U150" s="166"/>
      <c r="V150" s="97" t="s">
        <v>25</v>
      </c>
      <c r="W150" s="32"/>
      <c r="X150" s="32"/>
      <c r="Y150" t="s">
        <v>25</v>
      </c>
      <c r="Z150" t="s">
        <v>25</v>
      </c>
      <c r="AA150" s="94"/>
      <c r="AC150" s="112"/>
      <c r="AD150" s="112"/>
      <c r="AH150" s="97">
        <v>130</v>
      </c>
      <c r="AI150" s="111" t="s">
        <v>4800</v>
      </c>
      <c r="AJ150" s="111">
        <v>65630227</v>
      </c>
      <c r="AK150" s="97">
        <v>0</v>
      </c>
      <c r="AL150" s="20">
        <f t="shared" si="63"/>
        <v>587</v>
      </c>
      <c r="AM150" s="115">
        <f t="shared" ref="AM150:AM177" si="68">AJ150*AL150</f>
        <v>38524943249</v>
      </c>
      <c r="AN150" s="20" t="s">
        <v>4803</v>
      </c>
      <c r="AP150" t="s">
        <v>25</v>
      </c>
      <c r="AR150" t="s">
        <v>25</v>
      </c>
    </row>
    <row r="151" spans="5:44">
      <c r="G151" s="210"/>
      <c r="H151" s="210"/>
      <c r="I151" s="210"/>
      <c r="J151" s="1"/>
      <c r="Q151" s="26"/>
      <c r="R151" s="179"/>
      <c r="S151" s="179"/>
      <c r="T151" t="s">
        <v>25</v>
      </c>
      <c r="U151" s="94" t="s">
        <v>25</v>
      </c>
      <c r="V151" s="94" t="s">
        <v>25</v>
      </c>
      <c r="W151" s="94" t="s">
        <v>25</v>
      </c>
      <c r="Y151" t="s">
        <v>25</v>
      </c>
      <c r="Z151" t="s">
        <v>25</v>
      </c>
      <c r="AC151" s="112"/>
      <c r="AH151" s="97">
        <v>131</v>
      </c>
      <c r="AI151" s="111" t="s">
        <v>4800</v>
      </c>
      <c r="AJ151" s="111">
        <v>-3500000</v>
      </c>
      <c r="AK151" s="97">
        <v>6</v>
      </c>
      <c r="AL151" s="20">
        <f t="shared" si="63"/>
        <v>587</v>
      </c>
      <c r="AM151" s="115">
        <f t="shared" si="68"/>
        <v>-2054500000</v>
      </c>
      <c r="AN151" s="20" t="s">
        <v>4802</v>
      </c>
    </row>
    <row r="152" spans="5:44">
      <c r="G152" s="210"/>
      <c r="H152" s="111"/>
      <c r="I152" s="278">
        <f>J152-J148</f>
        <v>177024150</v>
      </c>
      <c r="J152" s="1">
        <f>SUM(J149:J150)</f>
        <v>327024150</v>
      </c>
      <c r="K152" t="s">
        <v>25</v>
      </c>
      <c r="R152" s="32" t="s">
        <v>4522</v>
      </c>
      <c r="S152" s="32" t="s">
        <v>935</v>
      </c>
      <c r="T152" t="s">
        <v>25</v>
      </c>
      <c r="U152" s="94" t="s">
        <v>25</v>
      </c>
      <c r="V152" s="94" t="s">
        <v>25</v>
      </c>
      <c r="W152" s="94" t="s">
        <v>25</v>
      </c>
      <c r="X152" s="120" t="s">
        <v>25</v>
      </c>
      <c r="Y152" t="s">
        <v>25</v>
      </c>
      <c r="Z152" t="s">
        <v>25</v>
      </c>
      <c r="AA152" t="s">
        <v>25</v>
      </c>
      <c r="AC152" s="112"/>
      <c r="AD152" s="112"/>
      <c r="AH152" s="97">
        <v>132</v>
      </c>
      <c r="AI152" s="111" t="s">
        <v>4812</v>
      </c>
      <c r="AJ152" s="111">
        <v>2520000</v>
      </c>
      <c r="AK152" s="97">
        <v>12</v>
      </c>
      <c r="AL152" s="20">
        <f t="shared" si="63"/>
        <v>581</v>
      </c>
      <c r="AM152" s="115">
        <f t="shared" si="68"/>
        <v>1464120000</v>
      </c>
      <c r="AN152" s="20"/>
    </row>
    <row r="153" spans="5:44">
      <c r="G153" s="210"/>
      <c r="H153" s="210"/>
      <c r="I153" s="210" t="s">
        <v>5494</v>
      </c>
      <c r="J153" s="210" t="s">
        <v>6</v>
      </c>
      <c r="N153" s="94"/>
      <c r="O153" s="94"/>
      <c r="P153" s="112"/>
      <c r="R153" s="32">
        <v>24551</v>
      </c>
      <c r="S153" s="167">
        <v>152128600.70081395</v>
      </c>
      <c r="T153" t="s">
        <v>25</v>
      </c>
      <c r="U153" s="94" t="s">
        <v>25</v>
      </c>
      <c r="V153" s="120" t="s">
        <v>25</v>
      </c>
      <c r="W153" s="94" t="s">
        <v>25</v>
      </c>
      <c r="X153" t="s">
        <v>25</v>
      </c>
      <c r="Y153" t="s">
        <v>25</v>
      </c>
      <c r="Z153" t="s">
        <v>25</v>
      </c>
      <c r="AH153" s="97">
        <v>133</v>
      </c>
      <c r="AI153" s="111" t="s">
        <v>4847</v>
      </c>
      <c r="AJ153" s="111">
        <v>1400000</v>
      </c>
      <c r="AK153" s="97">
        <v>4</v>
      </c>
      <c r="AL153" s="20">
        <f t="shared" si="63"/>
        <v>569</v>
      </c>
      <c r="AM153" s="115">
        <f t="shared" si="68"/>
        <v>796600000</v>
      </c>
      <c r="AN153" s="20"/>
    </row>
    <row r="154" spans="5:44">
      <c r="J154" s="94">
        <f>I150+2831</f>
        <v>19278</v>
      </c>
      <c r="N154" s="94"/>
      <c r="O154" s="94"/>
      <c r="P154" s="112"/>
      <c r="Q154" t="s">
        <v>25</v>
      </c>
      <c r="R154" s="32">
        <v>4685</v>
      </c>
      <c r="S154" s="1">
        <f>S153*R154/R153</f>
        <v>29030283.665973417</v>
      </c>
      <c r="T154" s="112" t="s">
        <v>25</v>
      </c>
      <c r="U154" s="94" t="s">
        <v>25</v>
      </c>
      <c r="V154" s="120" t="s">
        <v>25</v>
      </c>
      <c r="W154" s="94" t="s">
        <v>25</v>
      </c>
      <c r="X154" t="s">
        <v>25</v>
      </c>
      <c r="Y154" t="s">
        <v>25</v>
      </c>
      <c r="Z154" t="s">
        <v>25</v>
      </c>
      <c r="AH154" s="97">
        <v>134</v>
      </c>
      <c r="AI154" s="111" t="s">
        <v>4869</v>
      </c>
      <c r="AJ154" s="111">
        <v>1550000</v>
      </c>
      <c r="AK154" s="97">
        <v>2</v>
      </c>
      <c r="AL154" s="20">
        <f t="shared" si="63"/>
        <v>565</v>
      </c>
      <c r="AM154" s="115">
        <f t="shared" si="68"/>
        <v>875750000</v>
      </c>
      <c r="AN154" s="20"/>
    </row>
    <row r="155" spans="5:44">
      <c r="N155" s="94"/>
      <c r="O155" s="94"/>
      <c r="P155" s="112"/>
      <c r="R155" s="32">
        <f>R153-R154</f>
        <v>19866</v>
      </c>
      <c r="S155" s="1">
        <f>R155*S153/R153</f>
        <v>123098317.03484054</v>
      </c>
      <c r="T155" t="s">
        <v>25</v>
      </c>
      <c r="U155" s="120" t="s">
        <v>25</v>
      </c>
      <c r="V155" s="94"/>
      <c r="W155" s="120" t="s">
        <v>25</v>
      </c>
      <c r="X155" t="s">
        <v>25</v>
      </c>
      <c r="Y155" t="s">
        <v>25</v>
      </c>
      <c r="AA155" t="s">
        <v>25</v>
      </c>
      <c r="AH155" s="97">
        <v>135</v>
      </c>
      <c r="AI155" s="111" t="s">
        <v>4819</v>
      </c>
      <c r="AJ155" s="111">
        <v>250000</v>
      </c>
      <c r="AK155" s="97">
        <v>6</v>
      </c>
      <c r="AL155" s="20">
        <f t="shared" si="63"/>
        <v>563</v>
      </c>
      <c r="AM155" s="115">
        <f t="shared" si="68"/>
        <v>140750000</v>
      </c>
      <c r="AN155" s="20"/>
    </row>
    <row r="156" spans="5:44">
      <c r="L156" t="s">
        <v>25</v>
      </c>
      <c r="N156" s="94"/>
      <c r="O156" s="94"/>
      <c r="P156" s="112"/>
      <c r="T156" t="s">
        <v>25</v>
      </c>
      <c r="V156" s="94"/>
      <c r="W156"/>
      <c r="X156" t="s">
        <v>25</v>
      </c>
      <c r="Y156" t="s">
        <v>25</v>
      </c>
      <c r="AH156" s="97">
        <v>136</v>
      </c>
      <c r="AI156" s="111" t="s">
        <v>4878</v>
      </c>
      <c r="AJ156" s="111">
        <v>-48527480</v>
      </c>
      <c r="AK156" s="97">
        <v>14</v>
      </c>
      <c r="AL156" s="20">
        <f t="shared" si="63"/>
        <v>557</v>
      </c>
      <c r="AM156" s="115">
        <f t="shared" si="68"/>
        <v>-27029806360</v>
      </c>
      <c r="AN156" s="20" t="s">
        <v>4880</v>
      </c>
    </row>
    <row r="157" spans="5:44">
      <c r="G157" s="97"/>
      <c r="H157" s="97"/>
      <c r="I157" s="97" t="s">
        <v>5734</v>
      </c>
      <c r="J157" s="1">
        <v>-1200000</v>
      </c>
      <c r="N157" s="94"/>
      <c r="O157" s="94"/>
      <c r="P157" s="112"/>
      <c r="Q157" s="94" t="s">
        <v>25</v>
      </c>
      <c r="R157" s="94"/>
      <c r="S157" s="94"/>
      <c r="T157" s="94"/>
      <c r="U157" s="316" t="s">
        <v>4409</v>
      </c>
      <c r="V157" s="316" t="s">
        <v>4422</v>
      </c>
      <c r="W157" s="316" t="s">
        <v>4423</v>
      </c>
      <c r="X157" t="s">
        <v>25</v>
      </c>
      <c r="Y157" t="s">
        <v>25</v>
      </c>
      <c r="AA157" t="s">
        <v>25</v>
      </c>
      <c r="AH157" s="97">
        <v>137</v>
      </c>
      <c r="AI157" s="111" t="s">
        <v>4901</v>
      </c>
      <c r="AJ157" s="111">
        <v>2100000</v>
      </c>
      <c r="AK157" s="97">
        <v>1</v>
      </c>
      <c r="AL157" s="20">
        <f t="shared" si="63"/>
        <v>543</v>
      </c>
      <c r="AM157" s="115">
        <f t="shared" si="68"/>
        <v>1140300000</v>
      </c>
      <c r="AN157" s="20"/>
    </row>
    <row r="158" spans="5:44">
      <c r="G158" s="97">
        <f>P45</f>
        <v>1300</v>
      </c>
      <c r="H158" s="97" t="s">
        <v>4220</v>
      </c>
      <c r="I158" s="97">
        <v>20174</v>
      </c>
      <c r="J158" s="1">
        <f>G158*I158</f>
        <v>26226200</v>
      </c>
      <c r="N158" s="94"/>
      <c r="O158" s="94"/>
      <c r="P158" s="112"/>
      <c r="Q158" s="94"/>
      <c r="R158" s="94"/>
      <c r="S158" s="94" t="s">
        <v>25</v>
      </c>
      <c r="T158" s="120">
        <f>V159-V166</f>
        <v>2635605</v>
      </c>
      <c r="U158" s="316" t="s">
        <v>744</v>
      </c>
      <c r="V158" s="316">
        <v>1512197</v>
      </c>
      <c r="W158" s="88">
        <f>V158*$T$452</f>
        <v>3166901657.9932461</v>
      </c>
      <c r="Y158" t="s">
        <v>25</v>
      </c>
      <c r="AH158" s="97">
        <v>138</v>
      </c>
      <c r="AI158" s="111" t="s">
        <v>4904</v>
      </c>
      <c r="AJ158" s="111">
        <v>100000</v>
      </c>
      <c r="AK158" s="97">
        <v>4</v>
      </c>
      <c r="AL158" s="20">
        <f>AL159+AK158</f>
        <v>542</v>
      </c>
      <c r="AM158" s="115">
        <f t="shared" si="68"/>
        <v>54200000</v>
      </c>
      <c r="AN158" s="20"/>
    </row>
    <row r="159" spans="5:44">
      <c r="G159" s="97">
        <f>P44</f>
        <v>17250</v>
      </c>
      <c r="H159" s="97" t="s">
        <v>4362</v>
      </c>
      <c r="I159" s="97">
        <v>1150</v>
      </c>
      <c r="J159" s="1">
        <f>G159*I159</f>
        <v>19837500</v>
      </c>
      <c r="N159" s="94"/>
      <c r="O159" s="94"/>
      <c r="P159" s="112"/>
      <c r="T159" s="120"/>
      <c r="U159" s="316" t="s">
        <v>4411</v>
      </c>
      <c r="V159" s="316">
        <v>2635605</v>
      </c>
      <c r="W159" s="88">
        <f>V159*$T$452</f>
        <v>5519586300.1416416</v>
      </c>
      <c r="X159" s="94" t="s">
        <v>25</v>
      </c>
      <c r="Y159" t="s">
        <v>25</v>
      </c>
      <c r="Z159" t="s">
        <v>25</v>
      </c>
      <c r="AH159" s="97">
        <v>139</v>
      </c>
      <c r="AI159" s="111" t="s">
        <v>4909</v>
      </c>
      <c r="AJ159" s="111">
        <v>900000</v>
      </c>
      <c r="AK159" s="97">
        <v>0</v>
      </c>
      <c r="AL159" s="20">
        <f t="shared" ref="AL159:AL168" si="69">AL160+AK159</f>
        <v>538</v>
      </c>
      <c r="AM159" s="115">
        <f t="shared" ref="AM159:AM168" si="70">AJ159*AL159</f>
        <v>484200000</v>
      </c>
      <c r="AN159" s="20"/>
      <c r="AP159" t="s">
        <v>25</v>
      </c>
    </row>
    <row r="160" spans="5:44">
      <c r="G160" s="97"/>
      <c r="H160" s="97"/>
      <c r="I160" s="97"/>
      <c r="J160" s="1"/>
      <c r="P160" s="112"/>
      <c r="R160" t="s">
        <v>25</v>
      </c>
      <c r="T160" s="94"/>
      <c r="U160" s="316" t="s">
        <v>4410</v>
      </c>
      <c r="V160" s="316">
        <v>51866</v>
      </c>
      <c r="W160" s="88">
        <f>V160*$T$452</f>
        <v>108619790.53885023</v>
      </c>
      <c r="X160" s="214"/>
      <c r="Y160" t="s">
        <v>25</v>
      </c>
      <c r="AH160" s="97">
        <v>140</v>
      </c>
      <c r="AI160" s="111" t="s">
        <v>4909</v>
      </c>
      <c r="AJ160" s="111">
        <v>1100000</v>
      </c>
      <c r="AK160" s="97">
        <v>0</v>
      </c>
      <c r="AL160" s="20">
        <f t="shared" si="69"/>
        <v>538</v>
      </c>
      <c r="AM160" s="115">
        <f t="shared" si="70"/>
        <v>591800000</v>
      </c>
      <c r="AN160" s="20" t="s">
        <v>4923</v>
      </c>
      <c r="AQ160" t="s">
        <v>25</v>
      </c>
    </row>
    <row r="161" spans="7:43">
      <c r="G161" s="97">
        <v>1</v>
      </c>
      <c r="H161" s="97" t="s">
        <v>5569</v>
      </c>
      <c r="I161" s="97">
        <v>0</v>
      </c>
      <c r="J161" s="1">
        <f>I161</f>
        <v>0</v>
      </c>
      <c r="K161" s="112"/>
      <c r="L161" s="94"/>
      <c r="P161" s="112"/>
      <c r="Q161" t="s">
        <v>25</v>
      </c>
      <c r="R161" t="s">
        <v>25</v>
      </c>
      <c r="S161" t="s">
        <v>25</v>
      </c>
      <c r="T161" s="94" t="s">
        <v>25</v>
      </c>
      <c r="U161" s="316" t="s">
        <v>1071</v>
      </c>
      <c r="V161" s="316">
        <v>116856</v>
      </c>
      <c r="W161" s="88">
        <f>V161*$T$452</f>
        <v>244724371.32626158</v>
      </c>
      <c r="X161" s="113"/>
      <c r="Z161" t="s">
        <v>25</v>
      </c>
      <c r="AH161" s="97">
        <v>141</v>
      </c>
      <c r="AI161" s="111" t="s">
        <v>4909</v>
      </c>
      <c r="AJ161" s="111">
        <v>115000</v>
      </c>
      <c r="AK161" s="97"/>
      <c r="AL161" s="20">
        <f t="shared" si="69"/>
        <v>538</v>
      </c>
      <c r="AM161" s="115">
        <f t="shared" si="70"/>
        <v>61870000</v>
      </c>
      <c r="AN161" s="20"/>
      <c r="AQ161" t="s">
        <v>25</v>
      </c>
    </row>
    <row r="162" spans="7:43">
      <c r="G162" s="97"/>
      <c r="H162" s="97" t="s">
        <v>938</v>
      </c>
      <c r="I162" s="267">
        <f>J158+J159+J160+J161-J157</f>
        <v>47263700</v>
      </c>
      <c r="J162" s="1"/>
      <c r="K162" s="94"/>
      <c r="L162" s="94"/>
      <c r="N162" s="112"/>
      <c r="O162" s="112"/>
      <c r="P162" s="112"/>
      <c r="S162" t="s">
        <v>25</v>
      </c>
      <c r="T162" s="94"/>
      <c r="U162" s="316"/>
      <c r="V162" s="316"/>
      <c r="W162" s="316"/>
      <c r="X162" s="113"/>
      <c r="Y162" t="s">
        <v>25</v>
      </c>
      <c r="AH162" s="97">
        <v>142</v>
      </c>
      <c r="AI162" s="111" t="s">
        <v>4917</v>
      </c>
      <c r="AJ162" s="111">
        <v>-1100000</v>
      </c>
      <c r="AK162" s="97"/>
      <c r="AL162" s="20">
        <f t="shared" si="69"/>
        <v>538</v>
      </c>
      <c r="AM162" s="115">
        <f t="shared" si="70"/>
        <v>-591800000</v>
      </c>
      <c r="AN162" s="20" t="s">
        <v>4924</v>
      </c>
      <c r="AQ162" t="s">
        <v>25</v>
      </c>
    </row>
    <row r="163" spans="7:43">
      <c r="K163" s="94"/>
      <c r="L163" s="94"/>
      <c r="O163" s="112"/>
      <c r="P163" s="112"/>
      <c r="Q163" t="s">
        <v>25</v>
      </c>
      <c r="S163" t="s">
        <v>25</v>
      </c>
      <c r="T163" s="94" t="s">
        <v>25</v>
      </c>
      <c r="U163" s="87"/>
      <c r="V163" s="87"/>
      <c r="W163" s="87"/>
      <c r="X163" s="112"/>
      <c r="Y163" t="s">
        <v>25</v>
      </c>
      <c r="Z163" t="s">
        <v>25</v>
      </c>
      <c r="AH163" s="97">
        <v>143</v>
      </c>
      <c r="AI163" s="111" t="s">
        <v>4917</v>
      </c>
      <c r="AJ163" s="111">
        <v>900000</v>
      </c>
      <c r="AK163" s="97">
        <v>1</v>
      </c>
      <c r="AL163" s="20">
        <f t="shared" si="69"/>
        <v>538</v>
      </c>
      <c r="AM163" s="115">
        <f t="shared" si="70"/>
        <v>484200000</v>
      </c>
      <c r="AN163" s="20" t="s">
        <v>4923</v>
      </c>
    </row>
    <row r="164" spans="7:43">
      <c r="K164" s="94"/>
      <c r="L164" s="94"/>
      <c r="M164" s="94"/>
      <c r="N164" s="112"/>
      <c r="O164" s="112"/>
      <c r="P164" s="112"/>
      <c r="Q164" s="94" t="s">
        <v>25</v>
      </c>
      <c r="R164" s="94"/>
      <c r="S164" s="94" t="s">
        <v>25</v>
      </c>
      <c r="T164" s="94" t="s">
        <v>25</v>
      </c>
      <c r="U164" s="87"/>
      <c r="V164" s="87"/>
      <c r="W164" s="87"/>
      <c r="X164" s="94"/>
      <c r="AH164" s="97">
        <v>144</v>
      </c>
      <c r="AI164" s="111" t="s">
        <v>4921</v>
      </c>
      <c r="AJ164" s="111">
        <v>2000000</v>
      </c>
      <c r="AK164" s="97">
        <v>0</v>
      </c>
      <c r="AL164" s="20">
        <f t="shared" si="69"/>
        <v>537</v>
      </c>
      <c r="AM164" s="115">
        <f t="shared" si="70"/>
        <v>1074000000</v>
      </c>
      <c r="AN164" s="20"/>
    </row>
    <row r="165" spans="7:43">
      <c r="G165" s="32" t="s">
        <v>4220</v>
      </c>
      <c r="H165" s="32"/>
      <c r="I165" s="32" t="s">
        <v>4362</v>
      </c>
      <c r="K165" s="94"/>
      <c r="L165" s="94"/>
      <c r="M165" s="94"/>
      <c r="P165" s="112"/>
      <c r="Q165" s="94"/>
      <c r="R165" s="94"/>
      <c r="S165" s="94"/>
      <c r="T165" s="94" t="s">
        <v>25</v>
      </c>
      <c r="U165" s="87"/>
      <c r="V165" s="87">
        <f>SUM(V158:V161)</f>
        <v>4316524</v>
      </c>
      <c r="W165" s="87"/>
      <c r="X165" s="94"/>
      <c r="Y165" t="s">
        <v>25</v>
      </c>
      <c r="Z165" t="s">
        <v>25</v>
      </c>
      <c r="AH165" s="97">
        <v>145</v>
      </c>
      <c r="AI165" s="111" t="s">
        <v>4921</v>
      </c>
      <c r="AJ165" s="111">
        <v>360000</v>
      </c>
      <c r="AK165" s="97">
        <v>1</v>
      </c>
      <c r="AL165" s="20">
        <f t="shared" si="69"/>
        <v>537</v>
      </c>
      <c r="AM165" s="115">
        <f t="shared" si="70"/>
        <v>193320000</v>
      </c>
      <c r="AN165" s="20"/>
    </row>
    <row r="166" spans="7:43">
      <c r="G166" s="32">
        <f>O21+O28+O45+I149</f>
        <v>5087390</v>
      </c>
      <c r="H166" s="32" t="s">
        <v>5518</v>
      </c>
      <c r="I166" s="32">
        <f>O22+O26+O44+I150+O41</f>
        <v>148418</v>
      </c>
      <c r="J166" s="112"/>
      <c r="K166" s="94"/>
      <c r="L166" s="94"/>
      <c r="M166" s="94"/>
      <c r="O166" s="112"/>
      <c r="P166" s="112"/>
      <c r="Q166" s="94"/>
      <c r="R166" s="94"/>
      <c r="S166" s="94"/>
      <c r="T166" s="94" t="s">
        <v>25</v>
      </c>
      <c r="U166" s="87"/>
      <c r="V166" s="87">
        <f>V165-U449</f>
        <v>0</v>
      </c>
      <c r="W166" s="87"/>
      <c r="X166" s="94"/>
      <c r="Z166" t="s">
        <v>25</v>
      </c>
      <c r="AH166" s="97">
        <v>146</v>
      </c>
      <c r="AI166" s="111" t="s">
        <v>4922</v>
      </c>
      <c r="AJ166" s="111">
        <v>3000000</v>
      </c>
      <c r="AK166" s="97">
        <v>1</v>
      </c>
      <c r="AL166" s="20">
        <f t="shared" si="69"/>
        <v>536</v>
      </c>
      <c r="AM166" s="115">
        <f t="shared" si="70"/>
        <v>1608000000</v>
      </c>
      <c r="AN166" s="20"/>
    </row>
    <row r="167" spans="7:43">
      <c r="G167" s="32">
        <f>(J150+N27+N22+N23+N26+N43+N44+N41)/P45</f>
        <v>2110877.3076923075</v>
      </c>
      <c r="H167" s="294" t="s">
        <v>5519</v>
      </c>
      <c r="I167" s="32">
        <f>(J149+N27+N45+N43+N28+N23+N21)/P44</f>
        <v>394060.11594202899</v>
      </c>
      <c r="J167" s="112"/>
      <c r="K167" s="94"/>
      <c r="L167" s="94" t="s">
        <v>25</v>
      </c>
      <c r="M167" s="94"/>
      <c r="O167" s="112"/>
      <c r="P167" s="112"/>
      <c r="Q167" s="94" t="s">
        <v>25</v>
      </c>
      <c r="R167" s="94"/>
      <c r="S167" s="94"/>
      <c r="T167" s="94"/>
      <c r="U167" s="87"/>
      <c r="V167" s="87" t="s">
        <v>4947</v>
      </c>
      <c r="W167" s="140">
        <f>W158-R175</f>
        <v>797757.99324607849</v>
      </c>
      <c r="X167" s="94"/>
      <c r="Y167" t="s">
        <v>25</v>
      </c>
      <c r="AH167" s="97">
        <v>147</v>
      </c>
      <c r="AI167" s="111" t="s">
        <v>4920</v>
      </c>
      <c r="AJ167" s="111">
        <v>-658226</v>
      </c>
      <c r="AK167" s="97">
        <v>1</v>
      </c>
      <c r="AL167" s="20">
        <f t="shared" si="69"/>
        <v>535</v>
      </c>
      <c r="AM167" s="115">
        <f t="shared" si="70"/>
        <v>-352150910</v>
      </c>
      <c r="AN167" s="20"/>
    </row>
    <row r="168" spans="7:43">
      <c r="G168" s="32">
        <f>G166+G167</f>
        <v>7198267.307692308</v>
      </c>
      <c r="H168" s="32" t="s">
        <v>5520</v>
      </c>
      <c r="I168" s="32">
        <f>I166+I167</f>
        <v>542478.11594202905</v>
      </c>
      <c r="J168" s="112"/>
      <c r="K168" s="94"/>
      <c r="L168" s="94"/>
      <c r="P168" s="112"/>
      <c r="Q168" s="94"/>
      <c r="R168" s="94"/>
      <c r="S168" s="94"/>
      <c r="T168" s="94"/>
      <c r="U168" s="87"/>
      <c r="V168" s="87" t="s">
        <v>4948</v>
      </c>
      <c r="W168" s="140">
        <f>W161+W160-R176</f>
        <v>65515361.865111828</v>
      </c>
      <c r="X168" s="113"/>
      <c r="Y168" t="s">
        <v>25</v>
      </c>
      <c r="AH168" s="97">
        <v>148</v>
      </c>
      <c r="AI168" s="111" t="s">
        <v>4925</v>
      </c>
      <c r="AJ168" s="111">
        <v>1000000</v>
      </c>
      <c r="AK168" s="97">
        <v>15</v>
      </c>
      <c r="AL168" s="20">
        <f t="shared" si="69"/>
        <v>534</v>
      </c>
      <c r="AM168" s="115">
        <f t="shared" si="70"/>
        <v>534000000</v>
      </c>
      <c r="AN168" s="20"/>
      <c r="AP168" t="s">
        <v>25</v>
      </c>
    </row>
    <row r="169" spans="7:43">
      <c r="G169" s="32">
        <f>(W160+W161)/P45</f>
        <v>271803.20143470139</v>
      </c>
      <c r="H169" s="32" t="s">
        <v>5495</v>
      </c>
      <c r="I169" s="32">
        <f>(W160+W161)/P44</f>
        <v>20483.719528412279</v>
      </c>
      <c r="J169" s="112"/>
      <c r="K169" s="94"/>
      <c r="L169" s="94"/>
      <c r="M169" s="94"/>
      <c r="P169" s="112"/>
      <c r="Q169" s="94"/>
      <c r="R169" s="94"/>
      <c r="S169" s="94"/>
      <c r="T169" s="94"/>
      <c r="V169" s="94"/>
      <c r="Y169" t="s">
        <v>25</v>
      </c>
      <c r="AH169" s="97">
        <v>149</v>
      </c>
      <c r="AI169" s="111" t="s">
        <v>4953</v>
      </c>
      <c r="AJ169" s="111">
        <v>1130250</v>
      </c>
      <c r="AK169" s="97">
        <v>5</v>
      </c>
      <c r="AL169" s="20">
        <f t="shared" si="63"/>
        <v>519</v>
      </c>
      <c r="AM169" s="115">
        <f t="shared" si="68"/>
        <v>586599750</v>
      </c>
      <c r="AN169" s="20"/>
    </row>
    <row r="170" spans="7:43">
      <c r="G170" s="32">
        <f>W158/P45</f>
        <v>2436078.1984563433</v>
      </c>
      <c r="H170" s="32" t="s">
        <v>481</v>
      </c>
      <c r="I170" s="32">
        <f>W158/P44</f>
        <v>183588.50191265193</v>
      </c>
      <c r="J170" s="112"/>
      <c r="K170" s="94"/>
      <c r="L170" s="94"/>
      <c r="P170" s="112"/>
      <c r="Q170" s="94"/>
      <c r="R170" s="94"/>
      <c r="S170" s="94"/>
      <c r="T170" s="94" t="s">
        <v>25</v>
      </c>
      <c r="V170" s="94"/>
      <c r="AE170" s="94" t="s">
        <v>25</v>
      </c>
      <c r="AH170" s="97">
        <v>150</v>
      </c>
      <c r="AI170" s="111" t="s">
        <v>4961</v>
      </c>
      <c r="AJ170" s="111">
        <v>206000</v>
      </c>
      <c r="AK170" s="97">
        <v>2</v>
      </c>
      <c r="AL170" s="20">
        <f t="shared" si="63"/>
        <v>514</v>
      </c>
      <c r="AM170" s="115">
        <f t="shared" si="68"/>
        <v>105884000</v>
      </c>
      <c r="AN170" s="20"/>
    </row>
    <row r="171" spans="7:43">
      <c r="G171" s="32">
        <f>G168-G169-G170</f>
        <v>4490385.907801263</v>
      </c>
      <c r="H171" s="32" t="s">
        <v>5</v>
      </c>
      <c r="I171" s="32">
        <f>I168-I169-I170</f>
        <v>338405.89450096485</v>
      </c>
      <c r="J171" s="112"/>
      <c r="K171" s="94"/>
      <c r="L171" s="94"/>
      <c r="M171" t="s">
        <v>25</v>
      </c>
      <c r="P171" s="112"/>
      <c r="S171" s="94"/>
      <c r="T171" s="94"/>
      <c r="V171" s="94"/>
      <c r="AH171" s="97">
        <v>151</v>
      </c>
      <c r="AI171" s="111" t="s">
        <v>4968</v>
      </c>
      <c r="AJ171" s="111">
        <v>50000</v>
      </c>
      <c r="AK171" s="97">
        <v>2</v>
      </c>
      <c r="AL171" s="20">
        <f t="shared" si="63"/>
        <v>512</v>
      </c>
      <c r="AM171" s="115">
        <f t="shared" si="68"/>
        <v>25600000</v>
      </c>
      <c r="AN171" s="20"/>
    </row>
    <row r="172" spans="7:43">
      <c r="P172" s="112"/>
      <c r="Q172" s="94"/>
      <c r="R172" s="94"/>
      <c r="S172" s="94"/>
      <c r="T172" s="97" t="s">
        <v>180</v>
      </c>
      <c r="U172" s="97" t="s">
        <v>4438</v>
      </c>
      <c r="V172" s="97" t="s">
        <v>4439</v>
      </c>
      <c r="W172" s="97" t="s">
        <v>4449</v>
      </c>
      <c r="X172" s="97" t="s">
        <v>8</v>
      </c>
      <c r="Y172" t="s">
        <v>25</v>
      </c>
      <c r="AH172" s="97">
        <v>152</v>
      </c>
      <c r="AI172" s="111" t="s">
        <v>4972</v>
      </c>
      <c r="AJ172" s="111">
        <v>105000</v>
      </c>
      <c r="AK172" s="97">
        <v>4</v>
      </c>
      <c r="AL172" s="20">
        <f t="shared" si="63"/>
        <v>510</v>
      </c>
      <c r="AM172" s="115">
        <f t="shared" si="68"/>
        <v>53550000</v>
      </c>
      <c r="AN172" s="20"/>
    </row>
    <row r="173" spans="7:43">
      <c r="P173" s="112"/>
      <c r="Q173" s="94"/>
      <c r="R173" s="94"/>
      <c r="S173" s="94"/>
      <c r="T173" s="111" t="s">
        <v>4421</v>
      </c>
      <c r="U173" s="54">
        <v>1000000</v>
      </c>
      <c r="V173" s="111">
        <v>239.024</v>
      </c>
      <c r="W173" s="111">
        <f t="shared" ref="W173:W274" si="71">U173*V173</f>
        <v>239024000</v>
      </c>
      <c r="X173" s="97"/>
      <c r="AH173" s="97">
        <v>153</v>
      </c>
      <c r="AI173" s="111" t="s">
        <v>4976</v>
      </c>
      <c r="AJ173" s="111">
        <v>5000000</v>
      </c>
      <c r="AK173" s="97">
        <v>1</v>
      </c>
      <c r="AL173" s="20">
        <f t="shared" si="63"/>
        <v>506</v>
      </c>
      <c r="AM173" s="115">
        <f t="shared" si="68"/>
        <v>2530000000</v>
      </c>
      <c r="AN173" s="20"/>
    </row>
    <row r="174" spans="7:43">
      <c r="K174" s="94"/>
      <c r="L174" s="94"/>
      <c r="P174" s="112"/>
      <c r="Q174" s="36" t="s">
        <v>4521</v>
      </c>
      <c r="R174" s="93">
        <f>SUM(N41:N47)</f>
        <v>5576790650</v>
      </c>
      <c r="T174" s="166" t="s">
        <v>4403</v>
      </c>
      <c r="U174" s="54">
        <v>5904</v>
      </c>
      <c r="V174" s="111">
        <v>237.148</v>
      </c>
      <c r="W174" s="111">
        <f t="shared" si="71"/>
        <v>1400121.7919999999</v>
      </c>
      <c r="X174" s="97" t="s">
        <v>744</v>
      </c>
      <c r="Z174" t="s">
        <v>25</v>
      </c>
      <c r="AH174" s="97">
        <v>154</v>
      </c>
      <c r="AI174" s="111" t="s">
        <v>4977</v>
      </c>
      <c r="AJ174" s="111">
        <v>2500000</v>
      </c>
      <c r="AK174" s="97">
        <v>2</v>
      </c>
      <c r="AL174" s="20">
        <f t="shared" si="63"/>
        <v>505</v>
      </c>
      <c r="AM174" s="115">
        <f t="shared" si="68"/>
        <v>1262500000</v>
      </c>
      <c r="AN174" s="20"/>
    </row>
    <row r="175" spans="7:43">
      <c r="P175" s="112"/>
      <c r="Q175" s="97" t="s">
        <v>4412</v>
      </c>
      <c r="R175" s="93">
        <f>SUM(N21:N23)</f>
        <v>3166103900</v>
      </c>
      <c r="T175" s="166" t="s">
        <v>4209</v>
      </c>
      <c r="U175" s="166">
        <v>1000</v>
      </c>
      <c r="V175" s="111">
        <v>247.393</v>
      </c>
      <c r="W175" s="111">
        <f t="shared" si="71"/>
        <v>247393</v>
      </c>
      <c r="X175" s="97" t="s">
        <v>744</v>
      </c>
      <c r="Y175" t="s">
        <v>25</v>
      </c>
      <c r="AH175" s="261">
        <v>155</v>
      </c>
      <c r="AI175" s="257" t="s">
        <v>4983</v>
      </c>
      <c r="AJ175" s="257">
        <v>-50000000</v>
      </c>
      <c r="AK175" s="261">
        <v>7</v>
      </c>
      <c r="AL175" s="261">
        <f t="shared" si="63"/>
        <v>503</v>
      </c>
      <c r="AM175" s="257">
        <f t="shared" si="68"/>
        <v>-25150000000</v>
      </c>
      <c r="AN175" s="261" t="s">
        <v>4991</v>
      </c>
    </row>
    <row r="176" spans="7:43">
      <c r="G176" s="32" t="s">
        <v>180</v>
      </c>
      <c r="H176" s="32" t="s">
        <v>5521</v>
      </c>
      <c r="I176" s="210" t="s">
        <v>5522</v>
      </c>
      <c r="J176" s="210" t="s">
        <v>5523</v>
      </c>
      <c r="K176" s="32" t="s">
        <v>5524</v>
      </c>
      <c r="L176" s="97" t="s">
        <v>5538</v>
      </c>
      <c r="M176" s="97" t="s">
        <v>5539</v>
      </c>
      <c r="P176" s="112"/>
      <c r="Q176" s="97" t="s">
        <v>4413</v>
      </c>
      <c r="R176" s="93">
        <f>SUM(N26:N28)</f>
        <v>287828800</v>
      </c>
      <c r="T176" s="166" t="s">
        <v>4450</v>
      </c>
      <c r="U176" s="166">
        <v>8071</v>
      </c>
      <c r="V176" s="111">
        <v>247.797</v>
      </c>
      <c r="W176" s="111">
        <f t="shared" si="71"/>
        <v>1999969.5870000001</v>
      </c>
      <c r="X176" s="97" t="s">
        <v>4410</v>
      </c>
      <c r="Y176" t="s">
        <v>25</v>
      </c>
      <c r="AA176" t="s">
        <v>25</v>
      </c>
      <c r="AH176" s="97">
        <v>156</v>
      </c>
      <c r="AI176" s="111" t="s">
        <v>4989</v>
      </c>
      <c r="AJ176" s="111">
        <v>10000000</v>
      </c>
      <c r="AK176" s="97">
        <v>12</v>
      </c>
      <c r="AL176" s="20">
        <f t="shared" si="63"/>
        <v>496</v>
      </c>
      <c r="AM176" s="115">
        <f t="shared" si="68"/>
        <v>4960000000</v>
      </c>
      <c r="AN176" s="20" t="s">
        <v>4690</v>
      </c>
    </row>
    <row r="177" spans="5:43">
      <c r="G177" s="32" t="s">
        <v>5509</v>
      </c>
      <c r="H177" s="32">
        <v>3256760</v>
      </c>
      <c r="I177" s="210">
        <v>245992</v>
      </c>
      <c r="J177" s="210">
        <v>2544443</v>
      </c>
      <c r="K177" s="32">
        <v>192693</v>
      </c>
      <c r="L177" s="97">
        <f t="shared" ref="L177:L185" si="72">H177+J177</f>
        <v>5801203</v>
      </c>
      <c r="M177" s="97">
        <f t="shared" ref="M177:M185" si="73">I177+K177</f>
        <v>438685</v>
      </c>
      <c r="P177" s="112"/>
      <c r="Q177" s="97" t="s">
        <v>4414</v>
      </c>
      <c r="R177" s="93">
        <f>N39</f>
        <v>71811</v>
      </c>
      <c r="T177" s="166" t="s">
        <v>4450</v>
      </c>
      <c r="U177" s="166">
        <v>53672</v>
      </c>
      <c r="V177" s="111">
        <v>247.797</v>
      </c>
      <c r="W177" s="111">
        <f t="shared" si="71"/>
        <v>13299760.584000001</v>
      </c>
      <c r="X177" s="97" t="s">
        <v>452</v>
      </c>
      <c r="Y177" t="s">
        <v>25</v>
      </c>
      <c r="AH177" s="97">
        <v>157</v>
      </c>
      <c r="AI177" s="111" t="s">
        <v>4996</v>
      </c>
      <c r="AJ177" s="111">
        <v>-16266000</v>
      </c>
      <c r="AK177" s="97">
        <v>1</v>
      </c>
      <c r="AL177" s="20">
        <f t="shared" si="63"/>
        <v>484</v>
      </c>
      <c r="AM177" s="115">
        <f t="shared" si="68"/>
        <v>-7872744000</v>
      </c>
      <c r="AN177" s="20" t="s">
        <v>5004</v>
      </c>
      <c r="AQ177" t="s">
        <v>25</v>
      </c>
    </row>
    <row r="178" spans="5:43">
      <c r="G178" s="32" t="s">
        <v>5525</v>
      </c>
      <c r="H178" s="32">
        <v>3245022</v>
      </c>
      <c r="I178" s="210">
        <v>249261</v>
      </c>
      <c r="J178" s="210">
        <v>2532877</v>
      </c>
      <c r="K178" s="32">
        <v>195062</v>
      </c>
      <c r="L178" s="97">
        <f t="shared" si="72"/>
        <v>5777899</v>
      </c>
      <c r="M178" s="97">
        <f t="shared" si="73"/>
        <v>444323</v>
      </c>
      <c r="P178" s="112"/>
      <c r="Q178" s="97" t="s">
        <v>4415</v>
      </c>
      <c r="R178" s="93">
        <f>N20</f>
        <v>5000</v>
      </c>
      <c r="T178" s="166" t="s">
        <v>4458</v>
      </c>
      <c r="U178" s="166">
        <v>4099</v>
      </c>
      <c r="V178" s="111">
        <v>243.93</v>
      </c>
      <c r="W178" s="111">
        <f t="shared" si="71"/>
        <v>999869.07000000007</v>
      </c>
      <c r="X178" s="97" t="s">
        <v>4410</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72"/>
        <v>0</v>
      </c>
      <c r="M179" s="97">
        <f t="shared" si="73"/>
        <v>0</v>
      </c>
      <c r="O179" s="94"/>
      <c r="P179" s="112"/>
      <c r="Q179" s="97" t="s">
        <v>4416</v>
      </c>
      <c r="R179" s="93">
        <f>N25</f>
        <v>32509</v>
      </c>
      <c r="T179" s="166" t="s">
        <v>4458</v>
      </c>
      <c r="U179" s="166">
        <v>9301</v>
      </c>
      <c r="V179" s="111">
        <v>243.93</v>
      </c>
      <c r="W179" s="111">
        <f t="shared" si="71"/>
        <v>2268792.9300000002</v>
      </c>
      <c r="X179" s="97" t="s">
        <v>452</v>
      </c>
      <c r="Z179" t="s">
        <v>25</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72"/>
        <v>0</v>
      </c>
      <c r="M180" s="97">
        <f t="shared" si="73"/>
        <v>0</v>
      </c>
      <c r="O180" t="s">
        <v>25</v>
      </c>
      <c r="P180" s="112"/>
      <c r="Q180" s="97" t="s">
        <v>5751</v>
      </c>
      <c r="R180" s="93">
        <v>9000000</v>
      </c>
      <c r="S180" t="s">
        <v>25</v>
      </c>
      <c r="T180" s="166" t="s">
        <v>4463</v>
      </c>
      <c r="U180" s="166">
        <v>8334</v>
      </c>
      <c r="V180" s="111">
        <v>239.97</v>
      </c>
      <c r="W180" s="111">
        <f t="shared" si="71"/>
        <v>1999909.98</v>
      </c>
      <c r="X180" s="97" t="s">
        <v>4410</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72"/>
        <v>5767563</v>
      </c>
      <c r="M181" s="97">
        <f t="shared" si="73"/>
        <v>454076</v>
      </c>
      <c r="P181" s="112"/>
      <c r="Q181" s="97" t="s">
        <v>5081</v>
      </c>
      <c r="R181" s="93">
        <v>0</v>
      </c>
      <c r="T181" s="166" t="s">
        <v>4208</v>
      </c>
      <c r="U181" s="166">
        <v>29041</v>
      </c>
      <c r="V181" s="111">
        <v>233.45</v>
      </c>
      <c r="W181" s="111">
        <f t="shared" si="71"/>
        <v>6779621.4499999993</v>
      </c>
      <c r="X181" s="97" t="s">
        <v>744</v>
      </c>
      <c r="Y181" s="120" t="s">
        <v>25</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72"/>
        <v>5691708</v>
      </c>
      <c r="M182" s="97">
        <f t="shared" si="73"/>
        <v>470481</v>
      </c>
      <c r="O182" t="s">
        <v>25</v>
      </c>
      <c r="P182" s="112"/>
      <c r="Q182" s="97" t="s">
        <v>5680</v>
      </c>
      <c r="R182" s="93">
        <v>-550</v>
      </c>
      <c r="S182" s="94"/>
      <c r="T182" s="166" t="s">
        <v>979</v>
      </c>
      <c r="U182" s="166">
        <v>12337</v>
      </c>
      <c r="V182" s="111">
        <v>243.16300000000001</v>
      </c>
      <c r="W182" s="111">
        <f t="shared" si="71"/>
        <v>2999901.9310000003</v>
      </c>
      <c r="X182" s="97" t="s">
        <v>4410</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72"/>
        <v>5730341</v>
      </c>
      <c r="M183" s="97">
        <f t="shared" si="73"/>
        <v>494315</v>
      </c>
      <c r="P183" s="112" t="s">
        <v>25</v>
      </c>
      <c r="Q183" s="97"/>
      <c r="R183" s="93"/>
      <c r="S183" s="94"/>
      <c r="T183" s="166" t="s">
        <v>4539</v>
      </c>
      <c r="U183" s="166">
        <v>-16118</v>
      </c>
      <c r="V183" s="111">
        <v>248.17</v>
      </c>
      <c r="W183" s="111">
        <f t="shared" si="71"/>
        <v>-4000004.0599999996</v>
      </c>
      <c r="X183" s="97" t="s">
        <v>744</v>
      </c>
      <c r="Y183" t="s">
        <v>25</v>
      </c>
      <c r="AH183" s="97">
        <v>163</v>
      </c>
      <c r="AI183" s="111" t="s">
        <v>5054</v>
      </c>
      <c r="AJ183" s="111">
        <v>-312598</v>
      </c>
      <c r="AK183" s="97">
        <v>0</v>
      </c>
      <c r="AL183" s="20">
        <f t="shared" ref="AL183:AL190" si="74">AL184+AK183</f>
        <v>450</v>
      </c>
      <c r="AM183" s="115">
        <f t="shared" ref="AM183:AM190" si="75">AJ183*AL183</f>
        <v>-140669100</v>
      </c>
      <c r="AN183" s="20"/>
      <c r="AO183" t="s">
        <v>25</v>
      </c>
      <c r="AQ183" t="s">
        <v>25</v>
      </c>
    </row>
    <row r="184" spans="5:43">
      <c r="G184" s="32" t="s">
        <v>5559</v>
      </c>
      <c r="H184" s="32">
        <v>3298939</v>
      </c>
      <c r="I184" s="210">
        <v>281309</v>
      </c>
      <c r="J184" s="210">
        <v>2465538</v>
      </c>
      <c r="K184" s="32">
        <v>210242</v>
      </c>
      <c r="L184" s="97">
        <f t="shared" si="72"/>
        <v>5764477</v>
      </c>
      <c r="M184" s="97">
        <f t="shared" si="73"/>
        <v>491551</v>
      </c>
      <c r="P184" s="112"/>
      <c r="Q184" s="97"/>
      <c r="R184" s="93"/>
      <c r="T184" s="166" t="s">
        <v>4561</v>
      </c>
      <c r="U184" s="166">
        <v>101681</v>
      </c>
      <c r="V184" s="111">
        <v>246.5711</v>
      </c>
      <c r="W184" s="111">
        <f t="shared" si="71"/>
        <v>25071596.019099999</v>
      </c>
      <c r="X184" s="97" t="s">
        <v>452</v>
      </c>
      <c r="AH184" s="97">
        <v>164</v>
      </c>
      <c r="AI184" s="111" t="s">
        <v>5054</v>
      </c>
      <c r="AJ184" s="111">
        <v>50000</v>
      </c>
      <c r="AK184" s="97">
        <v>6</v>
      </c>
      <c r="AL184" s="20">
        <f t="shared" si="74"/>
        <v>450</v>
      </c>
      <c r="AM184" s="115">
        <f t="shared" si="75"/>
        <v>22500000</v>
      </c>
      <c r="AN184" s="20"/>
    </row>
    <row r="185" spans="5:43">
      <c r="G185" s="32" t="s">
        <v>5563</v>
      </c>
      <c r="H185" s="32">
        <v>3453903</v>
      </c>
      <c r="I185" s="210">
        <v>259725</v>
      </c>
      <c r="J185" s="210">
        <v>2541096</v>
      </c>
      <c r="K185" s="32">
        <v>191084</v>
      </c>
      <c r="L185" s="97">
        <f t="shared" si="72"/>
        <v>5994999</v>
      </c>
      <c r="M185" s="97">
        <f t="shared" si="73"/>
        <v>450809</v>
      </c>
      <c r="P185" s="112"/>
      <c r="Q185" s="97"/>
      <c r="R185" s="93"/>
      <c r="S185" s="94"/>
      <c r="T185" s="166" t="s">
        <v>4565</v>
      </c>
      <c r="U185" s="166">
        <v>66606</v>
      </c>
      <c r="V185" s="111">
        <v>251.131</v>
      </c>
      <c r="W185" s="111">
        <f t="shared" si="71"/>
        <v>16726831.386</v>
      </c>
      <c r="X185" s="97" t="s">
        <v>744</v>
      </c>
      <c r="AH185" s="97">
        <v>165</v>
      </c>
      <c r="AI185" s="111" t="s">
        <v>5064</v>
      </c>
      <c r="AJ185" s="111">
        <v>-200000</v>
      </c>
      <c r="AK185" s="97">
        <v>0</v>
      </c>
      <c r="AL185" s="20">
        <f t="shared" si="74"/>
        <v>444</v>
      </c>
      <c r="AM185" s="115">
        <f t="shared" si="75"/>
        <v>-88800000</v>
      </c>
      <c r="AN185" s="20" t="s">
        <v>5065</v>
      </c>
    </row>
    <row r="186" spans="5:43">
      <c r="G186" s="32"/>
      <c r="H186" s="32"/>
      <c r="I186" s="210"/>
      <c r="J186" s="210"/>
      <c r="K186" s="32"/>
      <c r="L186" s="97"/>
      <c r="M186" s="97"/>
      <c r="Q186" s="97" t="s">
        <v>5082</v>
      </c>
      <c r="R186" s="93">
        <v>0</v>
      </c>
      <c r="S186" s="113" t="s">
        <v>25</v>
      </c>
      <c r="T186" s="166" t="s">
        <v>4570</v>
      </c>
      <c r="U186" s="166">
        <v>172025</v>
      </c>
      <c r="V186" s="111">
        <v>245.52809999999999</v>
      </c>
      <c r="W186" s="111">
        <f t="shared" si="71"/>
        <v>42236971.402499996</v>
      </c>
      <c r="X186" s="97" t="s">
        <v>452</v>
      </c>
      <c r="AH186" s="97">
        <v>166</v>
      </c>
      <c r="AI186" s="111" t="s">
        <v>5064</v>
      </c>
      <c r="AJ186" s="111">
        <v>200000</v>
      </c>
      <c r="AK186" s="97">
        <v>3</v>
      </c>
      <c r="AL186" s="20">
        <f t="shared" si="74"/>
        <v>444</v>
      </c>
      <c r="AM186" s="115">
        <f t="shared" si="75"/>
        <v>88800000</v>
      </c>
      <c r="AN186" s="20"/>
      <c r="AQ186" t="s">
        <v>25</v>
      </c>
    </row>
    <row r="187" spans="5:43">
      <c r="G187" s="32"/>
      <c r="H187" s="32"/>
      <c r="I187" s="210"/>
      <c r="J187" s="210"/>
      <c r="K187" s="32"/>
      <c r="L187" s="97"/>
      <c r="M187" s="97"/>
      <c r="Q187" s="97"/>
      <c r="R187" s="93"/>
      <c r="S187" s="120" t="s">
        <v>25</v>
      </c>
      <c r="T187" s="166" t="s">
        <v>4570</v>
      </c>
      <c r="U187" s="166">
        <v>189227</v>
      </c>
      <c r="V187" s="111">
        <v>245.52809999999999</v>
      </c>
      <c r="W187" s="111">
        <f t="shared" si="71"/>
        <v>46460545.778700002</v>
      </c>
      <c r="X187" s="97" t="s">
        <v>744</v>
      </c>
      <c r="AH187" s="97">
        <v>167</v>
      </c>
      <c r="AI187" s="111" t="s">
        <v>5071</v>
      </c>
      <c r="AJ187" s="111">
        <v>200000</v>
      </c>
      <c r="AK187" s="97">
        <v>3</v>
      </c>
      <c r="AL187" s="20">
        <f t="shared" si="74"/>
        <v>441</v>
      </c>
      <c r="AM187" s="115">
        <f t="shared" si="75"/>
        <v>88200000</v>
      </c>
      <c r="AN187" s="20"/>
    </row>
    <row r="188" spans="5:43">
      <c r="G188" s="32"/>
      <c r="H188" s="32"/>
      <c r="I188" s="210"/>
      <c r="J188" s="210"/>
      <c r="K188" s="32"/>
      <c r="L188" s="97">
        <f>H188+J188</f>
        <v>0</v>
      </c>
      <c r="M188" s="97">
        <f>I188+K188</f>
        <v>0</v>
      </c>
      <c r="Q188" s="97"/>
      <c r="R188" s="93"/>
      <c r="S188" s="113"/>
      <c r="T188" s="166" t="s">
        <v>4571</v>
      </c>
      <c r="U188" s="166">
        <v>79720</v>
      </c>
      <c r="V188" s="111">
        <v>246.6568</v>
      </c>
      <c r="W188" s="111">
        <f t="shared" si="71"/>
        <v>19663480.096000001</v>
      </c>
      <c r="X188" s="97" t="s">
        <v>452</v>
      </c>
      <c r="Y188" s="8" t="s">
        <v>25</v>
      </c>
      <c r="Z188" t="s">
        <v>25</v>
      </c>
      <c r="AH188" s="97">
        <v>168</v>
      </c>
      <c r="AI188" s="111" t="s">
        <v>5074</v>
      </c>
      <c r="AJ188" s="111">
        <v>30000</v>
      </c>
      <c r="AK188" s="97">
        <v>7</v>
      </c>
      <c r="AL188" s="20">
        <f t="shared" si="74"/>
        <v>438</v>
      </c>
      <c r="AM188" s="115">
        <f t="shared" si="75"/>
        <v>13140000</v>
      </c>
      <c r="AN188" s="20"/>
    </row>
    <row r="189" spans="5:43">
      <c r="Q189" s="97"/>
      <c r="R189" s="93"/>
      <c r="S189" s="113"/>
      <c r="T189" s="166" t="s">
        <v>4571</v>
      </c>
      <c r="U189" s="166">
        <v>79720</v>
      </c>
      <c r="V189" s="111">
        <v>246.6568</v>
      </c>
      <c r="W189" s="111">
        <f t="shared" si="71"/>
        <v>19663480.096000001</v>
      </c>
      <c r="X189" s="97" t="s">
        <v>744</v>
      </c>
      <c r="AH189" s="97">
        <v>169</v>
      </c>
      <c r="AI189" s="111" t="s">
        <v>5032</v>
      </c>
      <c r="AJ189" s="111">
        <v>-10000000</v>
      </c>
      <c r="AK189" s="97">
        <v>0</v>
      </c>
      <c r="AL189" s="20">
        <f t="shared" si="74"/>
        <v>431</v>
      </c>
      <c r="AM189" s="115">
        <f t="shared" si="75"/>
        <v>-4310000000</v>
      </c>
      <c r="AN189" s="20" t="s">
        <v>4991</v>
      </c>
    </row>
    <row r="190" spans="5:43">
      <c r="Q190" s="97" t="s">
        <v>4420</v>
      </c>
      <c r="R190" s="93">
        <f>SUM(R174:R189)</f>
        <v>9039832120</v>
      </c>
      <c r="T190" s="166" t="s">
        <v>4594</v>
      </c>
      <c r="U190" s="166">
        <v>17769</v>
      </c>
      <c r="V190" s="111">
        <v>246.17877999999999</v>
      </c>
      <c r="W190" s="111">
        <f t="shared" si="71"/>
        <v>4374350.7418200001</v>
      </c>
      <c r="X190" s="97" t="s">
        <v>744</v>
      </c>
      <c r="AH190" s="97">
        <v>170</v>
      </c>
      <c r="AI190" s="111" t="s">
        <v>5032</v>
      </c>
      <c r="AJ190" s="111">
        <v>6000000</v>
      </c>
      <c r="AK190" s="97">
        <v>8</v>
      </c>
      <c r="AL190" s="20">
        <f t="shared" si="74"/>
        <v>431</v>
      </c>
      <c r="AM190" s="115">
        <f t="shared" si="75"/>
        <v>2586000000</v>
      </c>
      <c r="AN190" s="20"/>
      <c r="AP190" t="s">
        <v>25</v>
      </c>
    </row>
    <row r="191" spans="5:43">
      <c r="G191" s="97" t="s">
        <v>5511</v>
      </c>
      <c r="H191" s="97"/>
      <c r="I191" s="97"/>
      <c r="K191" t="s">
        <v>25</v>
      </c>
      <c r="M191" t="s">
        <v>25</v>
      </c>
      <c r="Q191" s="94"/>
      <c r="T191" s="166" t="s">
        <v>4594</v>
      </c>
      <c r="U191" s="166">
        <v>17769</v>
      </c>
      <c r="V191" s="111">
        <v>246.17877999999999</v>
      </c>
      <c r="W191" s="111">
        <f t="shared" si="71"/>
        <v>4374350.7418200001</v>
      </c>
      <c r="X191" s="97" t="s">
        <v>452</v>
      </c>
      <c r="AH191" s="97">
        <v>171</v>
      </c>
      <c r="AI191" s="111" t="s">
        <v>5100</v>
      </c>
      <c r="AJ191" s="111">
        <v>150000</v>
      </c>
      <c r="AK191" s="97">
        <v>7</v>
      </c>
      <c r="AL191" s="20">
        <f>AL192+AK191</f>
        <v>423</v>
      </c>
      <c r="AM191" s="115">
        <f>AJ191*AL191</f>
        <v>63450000</v>
      </c>
      <c r="AN191" s="20"/>
    </row>
    <row r="192" spans="5:43">
      <c r="G192" s="97" t="s">
        <v>452</v>
      </c>
      <c r="H192" s="97">
        <v>199</v>
      </c>
      <c r="I192" s="97" t="s">
        <v>5512</v>
      </c>
      <c r="T192" s="166" t="s">
        <v>4596</v>
      </c>
      <c r="U192" s="166">
        <v>12438</v>
      </c>
      <c r="V192" s="111">
        <v>241.20465999999999</v>
      </c>
      <c r="W192" s="111">
        <f t="shared" si="71"/>
        <v>3000103.5610799999</v>
      </c>
      <c r="X192" s="97" t="s">
        <v>4410</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t="s">
        <v>8</v>
      </c>
      <c r="R193" s="210" t="s">
        <v>4410</v>
      </c>
      <c r="S193" s="210"/>
      <c r="T193" s="166" t="s">
        <v>4605</v>
      </c>
      <c r="U193" s="166">
        <v>27363</v>
      </c>
      <c r="V193" s="111">
        <v>239.3886</v>
      </c>
      <c r="W193" s="111">
        <f t="shared" si="71"/>
        <v>6550390.2617999995</v>
      </c>
      <c r="X193" s="97" t="s">
        <v>744</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71" t="s">
        <v>180</v>
      </c>
      <c r="S194" s="210" t="s">
        <v>267</v>
      </c>
      <c r="T194" s="166" t="s">
        <v>4605</v>
      </c>
      <c r="U194" s="166">
        <v>27363</v>
      </c>
      <c r="V194" s="111">
        <v>239.3886</v>
      </c>
      <c r="W194" s="111">
        <f t="shared" si="71"/>
        <v>6550390.2617999995</v>
      </c>
      <c r="X194" s="97" t="s">
        <v>452</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4403</v>
      </c>
      <c r="S195" s="111">
        <v>3000000</v>
      </c>
      <c r="T195" s="207" t="s">
        <v>4607</v>
      </c>
      <c r="U195" s="207">
        <v>27437</v>
      </c>
      <c r="V195" s="111">
        <v>242.4015</v>
      </c>
      <c r="W195" s="111">
        <f t="shared" si="71"/>
        <v>6650769.9555000002</v>
      </c>
      <c r="X195" s="97" t="s">
        <v>744</v>
      </c>
      <c r="AH195" s="97">
        <v>175</v>
      </c>
      <c r="AI195" s="111" t="s">
        <v>5149</v>
      </c>
      <c r="AJ195" s="111">
        <v>-400000</v>
      </c>
      <c r="AK195" s="97">
        <v>6</v>
      </c>
      <c r="AL195" s="20">
        <f t="shared" ref="AL195:AL203" si="76">AL196+AK195</f>
        <v>413</v>
      </c>
      <c r="AM195" s="115">
        <f t="shared" ref="AM195:AM203" si="77">AJ195*AL195</f>
        <v>-165200000</v>
      </c>
      <c r="AN195" s="20"/>
    </row>
    <row r="196" spans="7:45">
      <c r="G196" s="97"/>
      <c r="H196" s="97"/>
      <c r="I196" s="97"/>
      <c r="P196" s="112"/>
      <c r="Q196" s="210"/>
      <c r="R196" s="210" t="s">
        <v>4450</v>
      </c>
      <c r="S196" s="111">
        <v>2000000</v>
      </c>
      <c r="T196" s="207" t="s">
        <v>4607</v>
      </c>
      <c r="U196" s="207">
        <v>29104</v>
      </c>
      <c r="V196" s="111">
        <v>242.4015</v>
      </c>
      <c r="W196" s="111">
        <f t="shared" si="71"/>
        <v>7054853.2560000001</v>
      </c>
      <c r="X196" s="97" t="s">
        <v>452</v>
      </c>
      <c r="AH196" s="97">
        <v>176</v>
      </c>
      <c r="AI196" s="111" t="s">
        <v>5156</v>
      </c>
      <c r="AJ196" s="111">
        <v>1300000</v>
      </c>
      <c r="AK196" s="97">
        <v>0</v>
      </c>
      <c r="AL196" s="20">
        <f t="shared" si="76"/>
        <v>407</v>
      </c>
      <c r="AM196" s="115">
        <f t="shared" si="77"/>
        <v>529100000</v>
      </c>
      <c r="AN196" s="20"/>
      <c r="AR196" t="s">
        <v>25</v>
      </c>
    </row>
    <row r="197" spans="7:45">
      <c r="G197" s="97"/>
      <c r="H197" s="97"/>
      <c r="I197" s="97"/>
      <c r="P197" s="112"/>
      <c r="Q197" s="210"/>
      <c r="R197" s="210" t="s">
        <v>4458</v>
      </c>
      <c r="S197" s="111">
        <v>1000000</v>
      </c>
      <c r="T197" s="210" t="s">
        <v>4624</v>
      </c>
      <c r="U197" s="210">
        <v>8991</v>
      </c>
      <c r="V197" s="111">
        <v>238.64867000000001</v>
      </c>
      <c r="W197" s="111">
        <f t="shared" si="71"/>
        <v>2145690.19197</v>
      </c>
      <c r="X197" s="97" t="s">
        <v>744</v>
      </c>
      <c r="AH197" s="97">
        <v>177</v>
      </c>
      <c r="AI197" s="111" t="s">
        <v>5156</v>
      </c>
      <c r="AJ197" s="111">
        <v>230000</v>
      </c>
      <c r="AK197" s="97">
        <v>1</v>
      </c>
      <c r="AL197" s="20">
        <f t="shared" si="76"/>
        <v>407</v>
      </c>
      <c r="AM197" s="115">
        <f t="shared" si="77"/>
        <v>93610000</v>
      </c>
      <c r="AN197" s="20"/>
    </row>
    <row r="198" spans="7:45">
      <c r="G198" s="97"/>
      <c r="H198" s="97"/>
      <c r="I198" s="97"/>
      <c r="K198" t="s">
        <v>25</v>
      </c>
      <c r="M198" t="s">
        <v>25</v>
      </c>
      <c r="P198" s="112"/>
      <c r="Q198" s="210"/>
      <c r="R198" s="210" t="s">
        <v>4463</v>
      </c>
      <c r="S198" s="111">
        <v>2000000</v>
      </c>
      <c r="T198" s="210" t="s">
        <v>4624</v>
      </c>
      <c r="U198" s="210">
        <v>8991</v>
      </c>
      <c r="V198" s="111">
        <v>238.64867000000001</v>
      </c>
      <c r="W198" s="111">
        <f t="shared" si="71"/>
        <v>2145690.19197</v>
      </c>
      <c r="X198" s="97" t="s">
        <v>452</v>
      </c>
      <c r="AH198" s="97">
        <v>178</v>
      </c>
      <c r="AI198" s="111" t="s">
        <v>5159</v>
      </c>
      <c r="AJ198" s="111">
        <v>880000</v>
      </c>
      <c r="AK198" s="97">
        <v>4</v>
      </c>
      <c r="AL198" s="20">
        <f t="shared" si="76"/>
        <v>406</v>
      </c>
      <c r="AM198" s="115">
        <f t="shared" si="77"/>
        <v>357280000</v>
      </c>
      <c r="AN198" s="20"/>
    </row>
    <row r="199" spans="7:45">
      <c r="G199" s="97"/>
      <c r="H199" s="97"/>
      <c r="I199" s="97"/>
      <c r="P199" s="112"/>
      <c r="Q199" s="210"/>
      <c r="R199" s="210" t="s">
        <v>979</v>
      </c>
      <c r="S199" s="111">
        <v>3000000</v>
      </c>
      <c r="T199" s="210" t="s">
        <v>4635</v>
      </c>
      <c r="U199" s="210">
        <v>18170</v>
      </c>
      <c r="V199" s="111">
        <v>240.48475999999999</v>
      </c>
      <c r="W199" s="111">
        <f t="shared" si="71"/>
        <v>4369608.0892000003</v>
      </c>
      <c r="X199" s="97" t="s">
        <v>744</v>
      </c>
      <c r="AH199" s="97">
        <v>179</v>
      </c>
      <c r="AI199" s="111" t="s">
        <v>5163</v>
      </c>
      <c r="AJ199" s="111">
        <v>-900000</v>
      </c>
      <c r="AK199" s="97">
        <v>1</v>
      </c>
      <c r="AL199" s="20">
        <f t="shared" si="76"/>
        <v>402</v>
      </c>
      <c r="AM199" s="115">
        <f t="shared" si="77"/>
        <v>-361800000</v>
      </c>
      <c r="AN199" s="20"/>
    </row>
    <row r="200" spans="7:45">
      <c r="O200" t="s">
        <v>25</v>
      </c>
      <c r="P200" s="112"/>
      <c r="Q200" s="210"/>
      <c r="R200" s="210" t="s">
        <v>4596</v>
      </c>
      <c r="S200" s="111">
        <v>3000000</v>
      </c>
      <c r="T200" s="210" t="s">
        <v>4635</v>
      </c>
      <c r="U200" s="210">
        <v>18170</v>
      </c>
      <c r="V200" s="111">
        <v>240.48475999999999</v>
      </c>
      <c r="W200" s="111">
        <f t="shared" si="71"/>
        <v>4369608.0892000003</v>
      </c>
      <c r="X200" s="97" t="s">
        <v>452</v>
      </c>
      <c r="AH200" s="97">
        <v>180</v>
      </c>
      <c r="AI200" s="111" t="s">
        <v>977</v>
      </c>
      <c r="AJ200" s="111">
        <v>-3500000</v>
      </c>
      <c r="AK200" s="97">
        <v>1</v>
      </c>
      <c r="AL200" s="20">
        <f t="shared" si="76"/>
        <v>401</v>
      </c>
      <c r="AM200" s="115">
        <f t="shared" si="77"/>
        <v>-1403500000</v>
      </c>
      <c r="AN200" s="20"/>
      <c r="AR200" t="s">
        <v>25</v>
      </c>
    </row>
    <row r="201" spans="7:45">
      <c r="G201" s="210" t="s">
        <v>180</v>
      </c>
      <c r="H201" s="210" t="s">
        <v>5537</v>
      </c>
      <c r="I201" t="s">
        <v>5530</v>
      </c>
      <c r="Q201" s="210" t="s">
        <v>4768</v>
      </c>
      <c r="R201" s="210" t="s">
        <v>4763</v>
      </c>
      <c r="S201" s="111">
        <v>-800000</v>
      </c>
      <c r="T201" s="210" t="s">
        <v>4637</v>
      </c>
      <c r="U201" s="210">
        <v>36797</v>
      </c>
      <c r="V201" s="111">
        <v>239.0822</v>
      </c>
      <c r="W201" s="111">
        <f t="shared" si="71"/>
        <v>8797507.7134000007</v>
      </c>
      <c r="X201" s="97" t="s">
        <v>744</v>
      </c>
      <c r="AH201" s="97">
        <v>181</v>
      </c>
      <c r="AI201" s="111" t="s">
        <v>4257</v>
      </c>
      <c r="AJ201" s="111">
        <v>-1600000</v>
      </c>
      <c r="AK201" s="97">
        <v>1</v>
      </c>
      <c r="AL201" s="20">
        <f t="shared" si="76"/>
        <v>400</v>
      </c>
      <c r="AM201" s="115">
        <f t="shared" si="77"/>
        <v>-640000000</v>
      </c>
      <c r="AN201" s="20"/>
      <c r="AQ201" t="s">
        <v>25</v>
      </c>
    </row>
    <row r="202" spans="7:45">
      <c r="G202" s="210" t="s">
        <v>5500</v>
      </c>
      <c r="H202" s="1">
        <v>30000000</v>
      </c>
      <c r="I202" t="s">
        <v>5531</v>
      </c>
      <c r="P202" s="112"/>
      <c r="Q202" s="210" t="s">
        <v>4769</v>
      </c>
      <c r="R202" s="210" t="s">
        <v>4763</v>
      </c>
      <c r="S202" s="111">
        <v>-900000</v>
      </c>
      <c r="T202" s="210" t="s">
        <v>4637</v>
      </c>
      <c r="U202" s="210">
        <v>36797</v>
      </c>
      <c r="V202" s="111">
        <v>239.0822</v>
      </c>
      <c r="W202" s="111">
        <f t="shared" si="71"/>
        <v>8797507.7134000007</v>
      </c>
      <c r="X202" s="97" t="s">
        <v>452</v>
      </c>
      <c r="Z202" t="s">
        <v>25</v>
      </c>
      <c r="AH202" s="97">
        <v>182</v>
      </c>
      <c r="AI202" s="111" t="s">
        <v>5169</v>
      </c>
      <c r="AJ202" s="111">
        <v>-800000</v>
      </c>
      <c r="AK202" s="97">
        <v>7</v>
      </c>
      <c r="AL202" s="20">
        <f t="shared" si="76"/>
        <v>399</v>
      </c>
      <c r="AM202" s="115">
        <f t="shared" si="77"/>
        <v>-319200000</v>
      </c>
      <c r="AN202" s="20"/>
    </row>
    <row r="203" spans="7:45">
      <c r="G203" s="210" t="s">
        <v>5501</v>
      </c>
      <c r="H203" s="1">
        <v>550000</v>
      </c>
      <c r="I203" t="s">
        <v>5532</v>
      </c>
      <c r="P203" s="112"/>
      <c r="Q203" s="210" t="s">
        <v>4769</v>
      </c>
      <c r="R203" s="210" t="s">
        <v>966</v>
      </c>
      <c r="S203" s="111">
        <v>-1100000</v>
      </c>
      <c r="T203" s="210" t="s">
        <v>4646</v>
      </c>
      <c r="U203" s="210">
        <v>28066</v>
      </c>
      <c r="V203" s="111">
        <v>237.56970000000001</v>
      </c>
      <c r="W203" s="111">
        <f t="shared" si="71"/>
        <v>6667631.2002000008</v>
      </c>
      <c r="X203" s="97" t="s">
        <v>744</v>
      </c>
      <c r="AH203" s="97">
        <v>183</v>
      </c>
      <c r="AI203" s="111" t="s">
        <v>5177</v>
      </c>
      <c r="AJ203" s="111">
        <v>50000</v>
      </c>
      <c r="AK203" s="97">
        <v>2</v>
      </c>
      <c r="AL203" s="20">
        <f t="shared" si="76"/>
        <v>392</v>
      </c>
      <c r="AM203" s="115">
        <f t="shared" si="77"/>
        <v>19600000</v>
      </c>
      <c r="AN203" s="20"/>
    </row>
    <row r="204" spans="7:45">
      <c r="G204" s="210" t="s">
        <v>5502</v>
      </c>
      <c r="H204" s="1">
        <v>70370000</v>
      </c>
      <c r="I204" t="s">
        <v>4085</v>
      </c>
      <c r="Q204" s="188" t="s">
        <v>1071</v>
      </c>
      <c r="R204" s="188" t="s">
        <v>4792</v>
      </c>
      <c r="S204" s="194">
        <v>30000000</v>
      </c>
      <c r="T204" s="210" t="s">
        <v>4646</v>
      </c>
      <c r="U204" s="210">
        <v>28066</v>
      </c>
      <c r="V204" s="111">
        <v>237.56970000000001</v>
      </c>
      <c r="W204" s="111">
        <f t="shared" si="71"/>
        <v>6667631.2002000008</v>
      </c>
      <c r="X204" s="97" t="s">
        <v>452</v>
      </c>
      <c r="Y204" t="s">
        <v>25</v>
      </c>
      <c r="AH204" s="97">
        <v>184</v>
      </c>
      <c r="AI204" s="111" t="s">
        <v>5179</v>
      </c>
      <c r="AJ204" s="111">
        <v>400000</v>
      </c>
      <c r="AK204" s="97">
        <v>8</v>
      </c>
      <c r="AL204" s="20">
        <f t="shared" ref="AL204:AL213" si="78">AL205+AK204</f>
        <v>390</v>
      </c>
      <c r="AM204" s="115">
        <f t="shared" ref="AM204:AM213" si="79">AJ204*AL204</f>
        <v>156000000</v>
      </c>
      <c r="AN204" s="20"/>
      <c r="AR204" t="s">
        <v>25</v>
      </c>
    </row>
    <row r="205" spans="7:45">
      <c r="G205" s="210" t="s">
        <v>5503</v>
      </c>
      <c r="H205" s="1">
        <v>1215000</v>
      </c>
      <c r="I205" t="s">
        <v>5533</v>
      </c>
      <c r="P205" s="112"/>
      <c r="Q205" s="19" t="s">
        <v>4873</v>
      </c>
      <c r="R205" s="19" t="s">
        <v>4871</v>
      </c>
      <c r="S205" s="115">
        <v>2000000</v>
      </c>
      <c r="T205" s="210" t="s">
        <v>3668</v>
      </c>
      <c r="U205" s="210">
        <v>37457</v>
      </c>
      <c r="V205" s="111">
        <v>239.77</v>
      </c>
      <c r="W205" s="111">
        <f t="shared" si="71"/>
        <v>8981064.8900000006</v>
      </c>
      <c r="X205" s="97" t="s">
        <v>744</v>
      </c>
      <c r="AH205" s="97">
        <v>185</v>
      </c>
      <c r="AI205" s="111" t="s">
        <v>5154</v>
      </c>
      <c r="AJ205" s="111">
        <v>-10000000</v>
      </c>
      <c r="AK205" s="97">
        <v>0</v>
      </c>
      <c r="AL205" s="20">
        <f t="shared" si="78"/>
        <v>382</v>
      </c>
      <c r="AM205" s="115">
        <f t="shared" si="79"/>
        <v>-3820000000</v>
      </c>
      <c r="AN205" s="20" t="s">
        <v>4991</v>
      </c>
    </row>
    <row r="206" spans="7:45">
      <c r="G206" s="210" t="s">
        <v>5504</v>
      </c>
      <c r="H206" s="1">
        <v>15350000</v>
      </c>
      <c r="I206" t="s">
        <v>5534</v>
      </c>
      <c r="P206" s="112"/>
      <c r="Q206" s="187" t="s">
        <v>4895</v>
      </c>
      <c r="R206" s="187" t="s">
        <v>4894</v>
      </c>
      <c r="S206" s="186">
        <v>480105</v>
      </c>
      <c r="T206" s="210" t="s">
        <v>3668</v>
      </c>
      <c r="U206" s="210">
        <v>37457</v>
      </c>
      <c r="V206" s="111">
        <v>239.77</v>
      </c>
      <c r="W206" s="111">
        <f t="shared" si="71"/>
        <v>8981064.8900000006</v>
      </c>
      <c r="X206" s="97" t="s">
        <v>452</v>
      </c>
      <c r="Y206" s="94" t="s">
        <v>25</v>
      </c>
      <c r="AH206" s="97">
        <v>186</v>
      </c>
      <c r="AI206" s="111" t="s">
        <v>5154</v>
      </c>
      <c r="AJ206" s="111">
        <v>3000000</v>
      </c>
      <c r="AK206" s="97">
        <v>1</v>
      </c>
      <c r="AL206" s="20">
        <f t="shared" si="78"/>
        <v>382</v>
      </c>
      <c r="AM206" s="115">
        <f t="shared" si="79"/>
        <v>1146000000</v>
      </c>
      <c r="AN206" s="20"/>
    </row>
    <row r="207" spans="7:45">
      <c r="G207" s="210" t="s">
        <v>5505</v>
      </c>
      <c r="H207" s="1">
        <v>70000</v>
      </c>
      <c r="I207" t="s">
        <v>5535</v>
      </c>
      <c r="Q207" s="187"/>
      <c r="R207" s="187" t="s">
        <v>4935</v>
      </c>
      <c r="S207" s="186">
        <v>30500000</v>
      </c>
      <c r="T207" s="210" t="s">
        <v>4658</v>
      </c>
      <c r="U207" s="210">
        <v>38412</v>
      </c>
      <c r="V207" s="111">
        <v>239.03</v>
      </c>
      <c r="W207" s="111">
        <f t="shared" si="71"/>
        <v>9181620.3599999994</v>
      </c>
      <c r="X207" s="97" t="s">
        <v>744</v>
      </c>
      <c r="Y207" t="s">
        <v>25</v>
      </c>
      <c r="AH207" s="97">
        <v>187</v>
      </c>
      <c r="AI207" s="111" t="s">
        <v>5191</v>
      </c>
      <c r="AJ207" s="111">
        <v>500000</v>
      </c>
      <c r="AK207" s="97">
        <v>23</v>
      </c>
      <c r="AL207" s="20">
        <f t="shared" si="78"/>
        <v>381</v>
      </c>
      <c r="AM207" s="115">
        <f t="shared" si="79"/>
        <v>190500000</v>
      </c>
      <c r="AN207" s="20"/>
      <c r="AR207" t="s">
        <v>25</v>
      </c>
    </row>
    <row r="208" spans="7:45">
      <c r="G208" s="210" t="s">
        <v>5509</v>
      </c>
      <c r="H208" s="1">
        <v>800000</v>
      </c>
      <c r="I208" t="s">
        <v>5536</v>
      </c>
      <c r="P208" s="112"/>
      <c r="Q208" s="19" t="s">
        <v>4966</v>
      </c>
      <c r="R208" s="19" t="s">
        <v>4961</v>
      </c>
      <c r="S208" s="115">
        <v>-400000</v>
      </c>
      <c r="T208" s="210" t="s">
        <v>4658</v>
      </c>
      <c r="U208" s="210">
        <v>38412</v>
      </c>
      <c r="V208" s="111">
        <v>239.03</v>
      </c>
      <c r="W208" s="111">
        <f t="shared" si="71"/>
        <v>9181620.3599999994</v>
      </c>
      <c r="X208" s="97" t="s">
        <v>452</v>
      </c>
      <c r="AH208" s="97">
        <v>188</v>
      </c>
      <c r="AI208" s="111" t="s">
        <v>5213</v>
      </c>
      <c r="AJ208" s="111">
        <v>101268</v>
      </c>
      <c r="AK208" s="97">
        <v>1</v>
      </c>
      <c r="AL208" s="20">
        <f t="shared" si="78"/>
        <v>358</v>
      </c>
      <c r="AM208" s="115">
        <f t="shared" si="79"/>
        <v>36253944</v>
      </c>
      <c r="AN208" s="20"/>
      <c r="AR208" t="s">
        <v>25</v>
      </c>
    </row>
    <row r="209" spans="6:46">
      <c r="G209" s="210" t="s">
        <v>5525</v>
      </c>
      <c r="H209" s="1">
        <v>1948000</v>
      </c>
      <c r="Q209" s="187" t="s">
        <v>5077</v>
      </c>
      <c r="R209" s="187" t="s">
        <v>4996</v>
      </c>
      <c r="S209" s="186">
        <v>-349550</v>
      </c>
      <c r="T209" s="210" t="s">
        <v>4661</v>
      </c>
      <c r="U209" s="210">
        <v>49555</v>
      </c>
      <c r="V209" s="111">
        <v>238.345</v>
      </c>
      <c r="W209" s="111">
        <f t="shared" si="71"/>
        <v>11811186.475</v>
      </c>
      <c r="X209" s="97" t="s">
        <v>744</v>
      </c>
      <c r="AH209" s="97">
        <v>189</v>
      </c>
      <c r="AI209" s="111" t="s">
        <v>5216</v>
      </c>
      <c r="AJ209" s="111">
        <v>101000</v>
      </c>
      <c r="AK209" s="97">
        <v>34</v>
      </c>
      <c r="AL209" s="20">
        <f t="shared" si="78"/>
        <v>357</v>
      </c>
      <c r="AM209" s="115">
        <f t="shared" si="79"/>
        <v>36057000</v>
      </c>
      <c r="AN209" s="20"/>
      <c r="AP209" t="s">
        <v>25</v>
      </c>
      <c r="AT209" s="94" t="s">
        <v>25</v>
      </c>
    </row>
    <row r="210" spans="6:46">
      <c r="G210" s="210" t="s">
        <v>5557</v>
      </c>
      <c r="H210" s="1">
        <v>5745697.3157000002</v>
      </c>
      <c r="P210" t="s">
        <v>25</v>
      </c>
      <c r="Q210" s="187" t="s">
        <v>5106</v>
      </c>
      <c r="R210" s="187" t="s">
        <v>5103</v>
      </c>
      <c r="S210" s="186">
        <v>11500000</v>
      </c>
      <c r="T210" s="210" t="s">
        <v>4661</v>
      </c>
      <c r="U210" s="210">
        <v>49555</v>
      </c>
      <c r="V210" s="111">
        <v>238.345</v>
      </c>
      <c r="W210" s="111">
        <f t="shared" si="71"/>
        <v>11811186.475</v>
      </c>
      <c r="X210" s="97" t="s">
        <v>452</v>
      </c>
      <c r="AA210" t="s">
        <v>25</v>
      </c>
      <c r="AH210" s="97">
        <v>190</v>
      </c>
      <c r="AI210" s="111" t="s">
        <v>5241</v>
      </c>
      <c r="AJ210" s="111">
        <v>-488602</v>
      </c>
      <c r="AK210" s="97">
        <v>5</v>
      </c>
      <c r="AL210" s="20">
        <f t="shared" si="78"/>
        <v>323</v>
      </c>
      <c r="AM210" s="115">
        <f t="shared" si="79"/>
        <v>-157818446</v>
      </c>
      <c r="AN210" s="20"/>
      <c r="AR210" t="s">
        <v>25</v>
      </c>
    </row>
    <row r="211" spans="6:46">
      <c r="G211" s="210" t="s">
        <v>5558</v>
      </c>
      <c r="H211" s="1">
        <v>908158.17935999995</v>
      </c>
      <c r="Q211" s="187" t="s">
        <v>5135</v>
      </c>
      <c r="R211" s="187" t="s">
        <v>5134</v>
      </c>
      <c r="S211" s="186">
        <v>6000000</v>
      </c>
      <c r="T211" s="210" t="s">
        <v>4675</v>
      </c>
      <c r="U211" s="210">
        <v>160187</v>
      </c>
      <c r="V211" s="111">
        <v>257.49799999999999</v>
      </c>
      <c r="W211" s="111">
        <f t="shared" si="71"/>
        <v>41247832.126000002</v>
      </c>
      <c r="X211" s="97" t="s">
        <v>744</v>
      </c>
      <c r="Y211" t="s">
        <v>25</v>
      </c>
      <c r="AH211" s="97">
        <v>191</v>
      </c>
      <c r="AI211" s="111" t="s">
        <v>5255</v>
      </c>
      <c r="AJ211" s="111">
        <v>360000</v>
      </c>
      <c r="AK211" s="97">
        <v>10</v>
      </c>
      <c r="AL211" s="20">
        <f t="shared" si="78"/>
        <v>318</v>
      </c>
      <c r="AM211" s="115">
        <f t="shared" si="79"/>
        <v>114480000</v>
      </c>
      <c r="AN211" s="20"/>
      <c r="AR211" t="s">
        <v>25</v>
      </c>
    </row>
    <row r="212" spans="6:46">
      <c r="G212" s="210" t="s">
        <v>5559</v>
      </c>
      <c r="H212" s="1">
        <v>12642697.648548001</v>
      </c>
      <c r="P212" s="112"/>
      <c r="Q212" s="187" t="s">
        <v>5137</v>
      </c>
      <c r="R212" s="187" t="s">
        <v>5136</v>
      </c>
      <c r="S212" s="186">
        <v>1500000</v>
      </c>
      <c r="T212" s="210" t="s">
        <v>4675</v>
      </c>
      <c r="U212" s="210">
        <v>160187</v>
      </c>
      <c r="V212" s="111">
        <v>257.49799999999999</v>
      </c>
      <c r="W212" s="111">
        <f t="shared" si="71"/>
        <v>41247832.126000002</v>
      </c>
      <c r="X212" s="97" t="s">
        <v>452</v>
      </c>
      <c r="AH212" s="97">
        <v>192</v>
      </c>
      <c r="AI212" s="111" t="s">
        <v>5266</v>
      </c>
      <c r="AJ212" s="111">
        <v>-3600000</v>
      </c>
      <c r="AK212" s="97">
        <v>4</v>
      </c>
      <c r="AL212" s="20">
        <f t="shared" si="78"/>
        <v>308</v>
      </c>
      <c r="AM212" s="115">
        <f t="shared" si="79"/>
        <v>-1108800000</v>
      </c>
      <c r="AN212" s="20"/>
      <c r="AS212" t="s">
        <v>25</v>
      </c>
    </row>
    <row r="213" spans="6:46">
      <c r="G213" s="210" t="s">
        <v>5560</v>
      </c>
      <c r="H213" s="1">
        <v>12297318</v>
      </c>
      <c r="I213" t="s">
        <v>25</v>
      </c>
      <c r="P213" s="112"/>
      <c r="Q213" s="19" t="s">
        <v>4966</v>
      </c>
      <c r="R213" s="19" t="s">
        <v>5144</v>
      </c>
      <c r="S213" s="115">
        <v>-200000</v>
      </c>
      <c r="T213" s="210" t="s">
        <v>4682</v>
      </c>
      <c r="U213" s="210">
        <v>144401</v>
      </c>
      <c r="V213" s="111">
        <v>258.5061</v>
      </c>
      <c r="W213" s="111">
        <f t="shared" si="71"/>
        <v>37328539.346100003</v>
      </c>
      <c r="X213" s="97" t="s">
        <v>744</v>
      </c>
      <c r="Z213" t="s">
        <v>25</v>
      </c>
      <c r="AH213" s="97">
        <v>193</v>
      </c>
      <c r="AI213" s="111" t="s">
        <v>5274</v>
      </c>
      <c r="AJ213" s="111">
        <v>-1000000</v>
      </c>
      <c r="AK213" s="97">
        <v>5</v>
      </c>
      <c r="AL213" s="20">
        <f t="shared" si="78"/>
        <v>304</v>
      </c>
      <c r="AM213" s="115">
        <f t="shared" si="79"/>
        <v>-304000000</v>
      </c>
      <c r="AN213" s="20"/>
      <c r="AR213" t="s">
        <v>25</v>
      </c>
    </row>
    <row r="214" spans="6:46">
      <c r="G214" s="210" t="s">
        <v>5561</v>
      </c>
      <c r="H214" s="1">
        <v>8959644</v>
      </c>
      <c r="P214" s="112"/>
      <c r="Q214" s="188" t="s">
        <v>5164</v>
      </c>
      <c r="R214" s="188" t="s">
        <v>5163</v>
      </c>
      <c r="S214" s="194">
        <v>1000000</v>
      </c>
      <c r="T214" s="210" t="s">
        <v>4682</v>
      </c>
      <c r="U214" s="210">
        <v>144401</v>
      </c>
      <c r="V214" s="111">
        <v>258.5061</v>
      </c>
      <c r="W214" s="111">
        <f t="shared" si="71"/>
        <v>37328539.346100003</v>
      </c>
      <c r="X214" s="97" t="s">
        <v>452</v>
      </c>
      <c r="AH214" s="97">
        <v>194</v>
      </c>
      <c r="AI214" s="111" t="s">
        <v>5280</v>
      </c>
      <c r="AJ214" s="111">
        <v>360000</v>
      </c>
      <c r="AK214" s="97">
        <v>2</v>
      </c>
      <c r="AL214" s="20">
        <f t="shared" ref="AL214:AL249" si="80">AL215+AK214</f>
        <v>299</v>
      </c>
      <c r="AM214" s="115">
        <f t="shared" ref="AM214:AM249" si="81">AJ214*AL214</f>
        <v>107640000</v>
      </c>
      <c r="AN214" s="20"/>
      <c r="AQ214" t="s">
        <v>25</v>
      </c>
    </row>
    <row r="215" spans="6:46">
      <c r="G215" s="210" t="s">
        <v>5562</v>
      </c>
      <c r="H215" s="111">
        <v>15154095.839328</v>
      </c>
      <c r="P215" s="112"/>
      <c r="Q215" s="19" t="s">
        <v>4966</v>
      </c>
      <c r="R215" s="19" t="s">
        <v>5177</v>
      </c>
      <c r="S215" s="115">
        <v>-122000</v>
      </c>
      <c r="T215" s="166" t="s">
        <v>4688</v>
      </c>
      <c r="U215" s="166">
        <v>196500</v>
      </c>
      <c r="V215" s="111">
        <v>254.452</v>
      </c>
      <c r="W215" s="111">
        <f t="shared" si="71"/>
        <v>49999818</v>
      </c>
      <c r="X215" s="97" t="s">
        <v>4692</v>
      </c>
      <c r="Y215" t="s">
        <v>25</v>
      </c>
      <c r="AA215" t="s">
        <v>25</v>
      </c>
      <c r="AH215" s="97">
        <v>195</v>
      </c>
      <c r="AI215" s="111" t="s">
        <v>5285</v>
      </c>
      <c r="AJ215" s="111">
        <v>2000000</v>
      </c>
      <c r="AK215" s="97">
        <v>1</v>
      </c>
      <c r="AL215" s="20">
        <f t="shared" si="80"/>
        <v>297</v>
      </c>
      <c r="AM215" s="115">
        <f t="shared" si="81"/>
        <v>594000000</v>
      </c>
      <c r="AN215" s="20"/>
    </row>
    <row r="216" spans="6:46">
      <c r="G216" s="210" t="s">
        <v>5567</v>
      </c>
      <c r="H216" s="111">
        <v>4108143</v>
      </c>
      <c r="P216" s="112"/>
      <c r="Q216" s="19" t="s">
        <v>4966</v>
      </c>
      <c r="R216" s="19" t="s">
        <v>5185</v>
      </c>
      <c r="S216" s="115">
        <v>-700000</v>
      </c>
      <c r="T216" s="210" t="s">
        <v>4688</v>
      </c>
      <c r="U216" s="210">
        <v>2561</v>
      </c>
      <c r="V216" s="111">
        <v>254.536</v>
      </c>
      <c r="W216" s="111">
        <f t="shared" si="71"/>
        <v>651866.696</v>
      </c>
      <c r="X216" s="97" t="s">
        <v>4693</v>
      </c>
      <c r="AH216" s="97">
        <v>196</v>
      </c>
      <c r="AI216" s="111" t="s">
        <v>5288</v>
      </c>
      <c r="AJ216" s="111">
        <v>20000000</v>
      </c>
      <c r="AK216" s="97">
        <v>0</v>
      </c>
      <c r="AL216" s="20">
        <f t="shared" si="80"/>
        <v>296</v>
      </c>
      <c r="AM216" s="115">
        <f t="shared" si="81"/>
        <v>5920000000</v>
      </c>
      <c r="AN216" s="20" t="s">
        <v>4690</v>
      </c>
      <c r="AR216" t="s">
        <v>25</v>
      </c>
    </row>
    <row r="217" spans="6:46">
      <c r="G217" s="210" t="s">
        <v>5573</v>
      </c>
      <c r="H217" s="111">
        <v>6000000</v>
      </c>
      <c r="P217" s="112"/>
      <c r="Q217" s="19" t="s">
        <v>4966</v>
      </c>
      <c r="R217" s="19" t="s">
        <v>5195</v>
      </c>
      <c r="S217" s="115">
        <v>-60000</v>
      </c>
      <c r="T217" s="210" t="s">
        <v>4735</v>
      </c>
      <c r="U217" s="210">
        <v>-11795</v>
      </c>
      <c r="V217" s="111">
        <v>254.334</v>
      </c>
      <c r="W217" s="111">
        <f t="shared" si="71"/>
        <v>-2999869.5300000003</v>
      </c>
      <c r="X217" s="97" t="s">
        <v>4736</v>
      </c>
      <c r="AH217" s="97">
        <v>197</v>
      </c>
      <c r="AI217" s="111" t="s">
        <v>5288</v>
      </c>
      <c r="AJ217" s="111">
        <v>-4700000</v>
      </c>
      <c r="AK217" s="97">
        <v>1</v>
      </c>
      <c r="AL217" s="20">
        <f t="shared" si="80"/>
        <v>296</v>
      </c>
      <c r="AM217" s="115">
        <f t="shared" si="81"/>
        <v>-1391200000</v>
      </c>
      <c r="AN217" s="20"/>
    </row>
    <row r="218" spans="6:46">
      <c r="G218" s="210" t="s">
        <v>5577</v>
      </c>
      <c r="H218" s="111">
        <v>8301786</v>
      </c>
      <c r="I218" t="s">
        <v>25</v>
      </c>
      <c r="J218" t="s">
        <v>25</v>
      </c>
      <c r="P218" s="112"/>
      <c r="Q218" s="19" t="s">
        <v>4410</v>
      </c>
      <c r="R218" s="19" t="s">
        <v>5255</v>
      </c>
      <c r="S218" s="115">
        <v>700000</v>
      </c>
      <c r="T218" s="210" t="s">
        <v>4735</v>
      </c>
      <c r="U218" s="210">
        <v>11795</v>
      </c>
      <c r="V218" s="111">
        <v>254.334</v>
      </c>
      <c r="W218" s="111">
        <f t="shared" si="71"/>
        <v>2999869.5300000003</v>
      </c>
      <c r="X218" s="97" t="s">
        <v>4737</v>
      </c>
      <c r="AH218" s="97">
        <v>198</v>
      </c>
      <c r="AI218" s="111" t="s">
        <v>5292</v>
      </c>
      <c r="AJ218" s="111">
        <v>3000000</v>
      </c>
      <c r="AK218" s="97">
        <v>4</v>
      </c>
      <c r="AL218" s="20">
        <f t="shared" si="80"/>
        <v>295</v>
      </c>
      <c r="AM218" s="115">
        <f t="shared" si="81"/>
        <v>885000000</v>
      </c>
      <c r="AN218" s="20"/>
      <c r="AS218" t="s">
        <v>25</v>
      </c>
    </row>
    <row r="219" spans="6:46">
      <c r="G219" s="210" t="s">
        <v>5583</v>
      </c>
      <c r="H219" s="111">
        <v>50725508.571864001</v>
      </c>
      <c r="J219" t="s">
        <v>25</v>
      </c>
      <c r="P219" s="112"/>
      <c r="Q219" s="187" t="s">
        <v>5725</v>
      </c>
      <c r="R219" s="187" t="s">
        <v>5264</v>
      </c>
      <c r="S219" s="186">
        <v>-4000000</v>
      </c>
      <c r="T219" s="210" t="s">
        <v>4749</v>
      </c>
      <c r="U219" s="210">
        <v>260</v>
      </c>
      <c r="V219" s="111">
        <v>263.19</v>
      </c>
      <c r="W219" s="111">
        <f t="shared" si="71"/>
        <v>68429.399999999994</v>
      </c>
      <c r="X219" s="97" t="s">
        <v>452</v>
      </c>
      <c r="AH219" s="97">
        <v>199</v>
      </c>
      <c r="AI219" s="111" t="s">
        <v>5295</v>
      </c>
      <c r="AJ219" s="111">
        <v>1500000</v>
      </c>
      <c r="AK219" s="97">
        <v>1</v>
      </c>
      <c r="AL219" s="20">
        <f t="shared" si="80"/>
        <v>291</v>
      </c>
      <c r="AM219" s="115">
        <f t="shared" si="81"/>
        <v>436500000</v>
      </c>
      <c r="AN219" s="20"/>
    </row>
    <row r="220" spans="6:46">
      <c r="F220" s="94"/>
      <c r="G220" s="210" t="s">
        <v>5585</v>
      </c>
      <c r="H220" s="111">
        <v>2281961.458596</v>
      </c>
      <c r="P220" s="112"/>
      <c r="Q220" s="187" t="s">
        <v>5726</v>
      </c>
      <c r="R220" s="187" t="s">
        <v>5266</v>
      </c>
      <c r="S220" s="186">
        <v>4000000</v>
      </c>
      <c r="T220" s="210" t="s">
        <v>4758</v>
      </c>
      <c r="U220" s="210">
        <v>15257</v>
      </c>
      <c r="V220" s="111">
        <v>262.19018</v>
      </c>
      <c r="W220" s="111">
        <f t="shared" si="71"/>
        <v>4000235.57626</v>
      </c>
      <c r="X220" s="97" t="s">
        <v>452</v>
      </c>
      <c r="AH220" s="97">
        <v>200</v>
      </c>
      <c r="AI220" s="111" t="s">
        <v>5298</v>
      </c>
      <c r="AJ220" s="111">
        <v>30000000</v>
      </c>
      <c r="AK220" s="97">
        <v>33</v>
      </c>
      <c r="AL220" s="20">
        <f t="shared" si="80"/>
        <v>290</v>
      </c>
      <c r="AM220" s="115">
        <f t="shared" si="81"/>
        <v>8700000000</v>
      </c>
      <c r="AN220" s="20"/>
    </row>
    <row r="221" spans="6:46">
      <c r="F221" s="94"/>
      <c r="G221" s="210" t="s">
        <v>5592</v>
      </c>
      <c r="H221" s="111">
        <v>10998285</v>
      </c>
      <c r="K221" t="s">
        <v>25</v>
      </c>
      <c r="Q221" s="187" t="s">
        <v>1071</v>
      </c>
      <c r="R221" s="187" t="s">
        <v>5277</v>
      </c>
      <c r="S221" s="186">
        <v>40000000</v>
      </c>
      <c r="T221" s="210" t="s">
        <v>4758</v>
      </c>
      <c r="U221" s="210">
        <v>8444</v>
      </c>
      <c r="V221" s="111">
        <v>266.43029999999999</v>
      </c>
      <c r="W221" s="111">
        <f t="shared" si="71"/>
        <v>2249737.4531999999</v>
      </c>
      <c r="X221" s="97" t="s">
        <v>452</v>
      </c>
      <c r="AH221" s="97">
        <v>201</v>
      </c>
      <c r="AI221" s="111" t="s">
        <v>5377</v>
      </c>
      <c r="AJ221" s="111">
        <v>3000000</v>
      </c>
      <c r="AK221" s="97">
        <v>1</v>
      </c>
      <c r="AL221" s="20">
        <f t="shared" si="80"/>
        <v>257</v>
      </c>
      <c r="AM221" s="115">
        <f t="shared" si="81"/>
        <v>771000000</v>
      </c>
      <c r="AN221" s="20"/>
    </row>
    <row r="222" spans="6:46">
      <c r="F222" s="94"/>
      <c r="G222" s="210" t="s">
        <v>5593</v>
      </c>
      <c r="H222" s="111">
        <v>983018.96187300002</v>
      </c>
      <c r="J222" t="s">
        <v>25</v>
      </c>
      <c r="Q222" s="19" t="s">
        <v>4410</v>
      </c>
      <c r="R222" s="19" t="s">
        <v>5282</v>
      </c>
      <c r="S222" s="115">
        <v>-800000</v>
      </c>
      <c r="T222" s="210" t="s">
        <v>4763</v>
      </c>
      <c r="U222" s="210">
        <v>-6209</v>
      </c>
      <c r="V222" s="111">
        <v>273.79649999999998</v>
      </c>
      <c r="W222" s="111">
        <f t="shared" si="71"/>
        <v>-1700002.4685</v>
      </c>
      <c r="X222" s="97" t="s">
        <v>4774</v>
      </c>
      <c r="AH222" s="97">
        <v>202</v>
      </c>
      <c r="AI222" s="111" t="s">
        <v>5378</v>
      </c>
      <c r="AJ222" s="111">
        <v>7000000</v>
      </c>
      <c r="AK222" s="97">
        <v>4</v>
      </c>
      <c r="AL222" s="20">
        <f t="shared" si="80"/>
        <v>256</v>
      </c>
      <c r="AM222" s="115">
        <f t="shared" si="81"/>
        <v>1792000000</v>
      </c>
      <c r="AN222" s="20"/>
    </row>
    <row r="223" spans="6:46">
      <c r="F223" s="94"/>
      <c r="G223" s="210" t="s">
        <v>5595</v>
      </c>
      <c r="H223" s="111">
        <v>17049271.032000002</v>
      </c>
      <c r="I223" s="94"/>
      <c r="J223" t="s">
        <v>25</v>
      </c>
      <c r="P223" s="112" t="s">
        <v>25</v>
      </c>
      <c r="Q223" s="210" t="s">
        <v>4410</v>
      </c>
      <c r="R223" s="210" t="s">
        <v>5373</v>
      </c>
      <c r="S223" s="115">
        <v>700000</v>
      </c>
      <c r="T223" s="210" t="s">
        <v>4763</v>
      </c>
      <c r="U223" s="210">
        <v>-8014</v>
      </c>
      <c r="V223" s="111">
        <v>273.79649999999998</v>
      </c>
      <c r="W223" s="111">
        <f t="shared" si="71"/>
        <v>-2194205.1510000001</v>
      </c>
      <c r="X223" s="97" t="s">
        <v>744</v>
      </c>
      <c r="AH223" s="97">
        <v>203</v>
      </c>
      <c r="AI223" s="111" t="s">
        <v>5391</v>
      </c>
      <c r="AJ223" s="111">
        <v>8800000</v>
      </c>
      <c r="AK223" s="97">
        <v>2</v>
      </c>
      <c r="AL223" s="20">
        <f t="shared" si="80"/>
        <v>252</v>
      </c>
      <c r="AM223" s="115">
        <f t="shared" si="81"/>
        <v>2217600000</v>
      </c>
      <c r="AN223" s="20"/>
    </row>
    <row r="224" spans="6:46" ht="28.5" customHeight="1">
      <c r="F224" s="94"/>
      <c r="G224" s="210" t="s">
        <v>5598</v>
      </c>
      <c r="H224" s="111">
        <v>6829998</v>
      </c>
      <c r="I224" s="94"/>
      <c r="P224" s="112"/>
      <c r="Q224" s="187" t="s">
        <v>5394</v>
      </c>
      <c r="R224" s="187" t="s">
        <v>5392</v>
      </c>
      <c r="S224" s="186">
        <v>-26000000</v>
      </c>
      <c r="T224" s="210" t="s">
        <v>4772</v>
      </c>
      <c r="U224" s="210">
        <v>-9176</v>
      </c>
      <c r="V224" s="111">
        <v>273.79649999999998</v>
      </c>
      <c r="W224" s="111">
        <f t="shared" si="71"/>
        <v>-2512356.6839999999</v>
      </c>
      <c r="X224" s="97" t="s">
        <v>452</v>
      </c>
      <c r="AH224" s="97">
        <v>204</v>
      </c>
      <c r="AI224" s="111" t="s">
        <v>5397</v>
      </c>
      <c r="AJ224" s="111">
        <v>40000000</v>
      </c>
      <c r="AK224" s="97">
        <v>8</v>
      </c>
      <c r="AL224" s="20">
        <f t="shared" si="80"/>
        <v>250</v>
      </c>
      <c r="AM224" s="115">
        <f t="shared" si="81"/>
        <v>10000000000</v>
      </c>
      <c r="AN224" s="20" t="s">
        <v>4690</v>
      </c>
    </row>
    <row r="225" spans="4:45">
      <c r="F225" s="94"/>
      <c r="G225" s="210" t="s">
        <v>4213</v>
      </c>
      <c r="H225" s="111">
        <v>6982608.8207999999</v>
      </c>
      <c r="I225" s="94"/>
      <c r="P225" t="s">
        <v>25</v>
      </c>
      <c r="Q225" s="187" t="s">
        <v>5394</v>
      </c>
      <c r="R225" s="187" t="s">
        <v>5397</v>
      </c>
      <c r="S225" s="186">
        <v>-95900000</v>
      </c>
      <c r="T225" s="210" t="s">
        <v>4772</v>
      </c>
      <c r="U225" s="210">
        <v>1087</v>
      </c>
      <c r="V225" s="111">
        <v>273.79649999999998</v>
      </c>
      <c r="W225" s="111">
        <f t="shared" si="71"/>
        <v>297616.79550000001</v>
      </c>
      <c r="X225" s="97" t="s">
        <v>452</v>
      </c>
      <c r="AH225" s="97">
        <v>205</v>
      </c>
      <c r="AI225" s="111" t="s">
        <v>5413</v>
      </c>
      <c r="AJ225" s="111">
        <v>400000</v>
      </c>
      <c r="AK225" s="97">
        <v>17</v>
      </c>
      <c r="AL225" s="20">
        <f t="shared" si="80"/>
        <v>242</v>
      </c>
      <c r="AM225" s="115">
        <f t="shared" si="81"/>
        <v>96800000</v>
      </c>
      <c r="AN225" s="20"/>
      <c r="AR225" t="s">
        <v>25</v>
      </c>
    </row>
    <row r="226" spans="4:45">
      <c r="F226" s="94"/>
      <c r="G226" s="210" t="s">
        <v>5622</v>
      </c>
      <c r="H226" s="111">
        <v>7510131.0216000006</v>
      </c>
      <c r="I226" s="94"/>
      <c r="J226" t="s">
        <v>25</v>
      </c>
      <c r="Q226" s="187" t="s">
        <v>5394</v>
      </c>
      <c r="R226" s="187" t="s">
        <v>5398</v>
      </c>
      <c r="S226" s="186">
        <v>-28950000</v>
      </c>
      <c r="T226" s="210" t="s">
        <v>966</v>
      </c>
      <c r="U226" s="210">
        <v>-4017</v>
      </c>
      <c r="V226" s="111">
        <v>273.79649999999998</v>
      </c>
      <c r="W226" s="111">
        <f t="shared" si="71"/>
        <v>-1099840.5404999999</v>
      </c>
      <c r="X226" s="97" t="s">
        <v>4410</v>
      </c>
      <c r="AH226" s="97">
        <v>206</v>
      </c>
      <c r="AI226" s="111" t="s">
        <v>5433</v>
      </c>
      <c r="AJ226" s="111">
        <v>-20000000</v>
      </c>
      <c r="AK226" s="97">
        <v>18</v>
      </c>
      <c r="AL226" s="20">
        <f t="shared" si="80"/>
        <v>225</v>
      </c>
      <c r="AM226" s="115">
        <f t="shared" si="81"/>
        <v>-4500000000</v>
      </c>
      <c r="AN226" s="20" t="s">
        <v>4991</v>
      </c>
    </row>
    <row r="227" spans="4:45">
      <c r="D227" s="94"/>
      <c r="E227" s="94"/>
      <c r="G227" s="210" t="s">
        <v>5629</v>
      </c>
      <c r="H227" s="111">
        <v>10397191</v>
      </c>
      <c r="J227" t="s">
        <v>25</v>
      </c>
      <c r="K227" t="s">
        <v>25</v>
      </c>
      <c r="Q227" s="170" t="s">
        <v>5409</v>
      </c>
      <c r="R227" s="170" t="s">
        <v>5407</v>
      </c>
      <c r="S227" s="168">
        <v>2000000</v>
      </c>
      <c r="T227" s="210" t="s">
        <v>966</v>
      </c>
      <c r="U227" s="210">
        <v>4017</v>
      </c>
      <c r="V227" s="111">
        <v>273.79649999999998</v>
      </c>
      <c r="W227" s="111">
        <f t="shared" si="71"/>
        <v>1099840.5404999999</v>
      </c>
      <c r="X227" s="97" t="s">
        <v>452</v>
      </c>
      <c r="AH227" s="97">
        <v>207</v>
      </c>
      <c r="AI227" s="111" t="s">
        <v>5453</v>
      </c>
      <c r="AJ227" s="111">
        <v>3006000</v>
      </c>
      <c r="AK227" s="97">
        <v>19</v>
      </c>
      <c r="AL227" s="20">
        <f t="shared" si="80"/>
        <v>207</v>
      </c>
      <c r="AM227" s="115">
        <f t="shared" si="81"/>
        <v>622242000</v>
      </c>
      <c r="AN227" s="20"/>
    </row>
    <row r="228" spans="4:45">
      <c r="D228" s="94"/>
      <c r="E228" s="94"/>
      <c r="G228" s="210" t="s">
        <v>5638</v>
      </c>
      <c r="H228" s="111">
        <v>195059.35799999998</v>
      </c>
      <c r="J228" t="s">
        <v>25</v>
      </c>
      <c r="Q228" s="187" t="s">
        <v>5415</v>
      </c>
      <c r="R228" s="187" t="s">
        <v>5413</v>
      </c>
      <c r="S228" s="186">
        <v>1896188</v>
      </c>
      <c r="T228" s="210" t="s">
        <v>4779</v>
      </c>
      <c r="U228" s="210">
        <v>3137</v>
      </c>
      <c r="V228" s="111">
        <v>283.69110000000001</v>
      </c>
      <c r="W228" s="111">
        <f t="shared" si="71"/>
        <v>889938.98070000007</v>
      </c>
      <c r="X228" s="97" t="s">
        <v>452</v>
      </c>
      <c r="Y228" t="s">
        <v>25</v>
      </c>
      <c r="AH228" s="97">
        <v>208</v>
      </c>
      <c r="AI228" s="111" t="s">
        <v>5339</v>
      </c>
      <c r="AJ228" s="111">
        <v>-130382924</v>
      </c>
      <c r="AK228" s="97">
        <v>0</v>
      </c>
      <c r="AL228" s="20">
        <f t="shared" si="80"/>
        <v>188</v>
      </c>
      <c r="AM228" s="115">
        <f t="shared" si="81"/>
        <v>-24511989712</v>
      </c>
      <c r="AN228" s="20" t="s">
        <v>5483</v>
      </c>
      <c r="AR228" t="s">
        <v>25</v>
      </c>
    </row>
    <row r="229" spans="4:45">
      <c r="D229" s="94"/>
      <c r="E229" s="94"/>
      <c r="G229" s="210" t="s">
        <v>5643</v>
      </c>
      <c r="H229" s="111">
        <v>744082</v>
      </c>
      <c r="Q229" s="187" t="s">
        <v>5489</v>
      </c>
      <c r="R229" s="187" t="s">
        <v>5487</v>
      </c>
      <c r="S229" s="186">
        <v>0</v>
      </c>
      <c r="T229" s="210" t="s">
        <v>4792</v>
      </c>
      <c r="U229" s="210">
        <v>101933</v>
      </c>
      <c r="V229" s="111">
        <v>294.30973999999998</v>
      </c>
      <c r="W229" s="111">
        <f t="shared" si="71"/>
        <v>29999874.727419998</v>
      </c>
      <c r="X229" s="97" t="s">
        <v>1071</v>
      </c>
      <c r="Y229" t="s">
        <v>25</v>
      </c>
      <c r="AH229" s="97">
        <v>209</v>
      </c>
      <c r="AI229" s="111" t="s">
        <v>5339</v>
      </c>
      <c r="AJ229" s="111">
        <v>125000000</v>
      </c>
      <c r="AK229" s="97">
        <v>1</v>
      </c>
      <c r="AL229" s="20">
        <f t="shared" si="80"/>
        <v>188</v>
      </c>
      <c r="AM229" s="115">
        <f t="shared" si="81"/>
        <v>23500000000</v>
      </c>
      <c r="AN229" s="20"/>
      <c r="AR229" t="s">
        <v>25</v>
      </c>
    </row>
    <row r="230" spans="4:45">
      <c r="D230" s="94"/>
      <c r="E230" s="94"/>
      <c r="G230" s="210" t="s">
        <v>5645</v>
      </c>
      <c r="H230" s="111">
        <v>920308.446</v>
      </c>
      <c r="Q230" s="187" t="s">
        <v>5578</v>
      </c>
      <c r="R230" s="187" t="s">
        <v>5573</v>
      </c>
      <c r="S230" s="186">
        <v>-1265000</v>
      </c>
      <c r="T230" s="210" t="s">
        <v>4799</v>
      </c>
      <c r="U230" s="210">
        <v>3407</v>
      </c>
      <c r="V230" s="111">
        <v>293.43799999999999</v>
      </c>
      <c r="W230" s="111">
        <f t="shared" si="71"/>
        <v>999743.26599999995</v>
      </c>
      <c r="X230" s="97" t="s">
        <v>452</v>
      </c>
      <c r="AH230" s="97">
        <v>210</v>
      </c>
      <c r="AI230" s="111" t="s">
        <v>5482</v>
      </c>
      <c r="AJ230" s="111">
        <v>7200000</v>
      </c>
      <c r="AK230" s="97">
        <v>15</v>
      </c>
      <c r="AL230" s="20">
        <f t="shared" si="80"/>
        <v>187</v>
      </c>
      <c r="AM230" s="115">
        <f t="shared" si="81"/>
        <v>1346400000</v>
      </c>
      <c r="AN230" s="20"/>
      <c r="AQ230" t="s">
        <v>25</v>
      </c>
      <c r="AS230" t="s">
        <v>25</v>
      </c>
    </row>
    <row r="231" spans="4:45">
      <c r="D231" s="94"/>
      <c r="E231" s="94"/>
      <c r="G231" s="210" t="s">
        <v>5646</v>
      </c>
      <c r="H231" s="111">
        <v>4635809.8416840006</v>
      </c>
      <c r="Q231" s="187" t="s">
        <v>5617</v>
      </c>
      <c r="R231" s="187" t="s">
        <v>4213</v>
      </c>
      <c r="S231" s="186">
        <v>13752871.322800001</v>
      </c>
      <c r="T231" s="210" t="s">
        <v>4800</v>
      </c>
      <c r="U231" s="210">
        <v>68796</v>
      </c>
      <c r="V231" s="111">
        <v>293.53250000000003</v>
      </c>
      <c r="W231" s="111">
        <f t="shared" si="71"/>
        <v>20193861.870000001</v>
      </c>
      <c r="X231" s="97" t="s">
        <v>744</v>
      </c>
      <c r="AH231" s="97">
        <v>211</v>
      </c>
      <c r="AI231" s="111" t="s">
        <v>5505</v>
      </c>
      <c r="AJ231" s="111">
        <v>2050000</v>
      </c>
      <c r="AK231" s="97">
        <v>7</v>
      </c>
      <c r="AL231" s="20">
        <f t="shared" si="80"/>
        <v>172</v>
      </c>
      <c r="AM231" s="115">
        <f t="shared" si="81"/>
        <v>352600000</v>
      </c>
      <c r="AN231" s="20"/>
      <c r="AR231" t="s">
        <v>25</v>
      </c>
      <c r="AS231" t="s">
        <v>25</v>
      </c>
    </row>
    <row r="232" spans="4:45">
      <c r="D232" s="94"/>
      <c r="E232" s="94"/>
      <c r="G232" s="210" t="s">
        <v>5681</v>
      </c>
      <c r="H232" s="111">
        <v>58508002.009000003</v>
      </c>
      <c r="J232" t="s">
        <v>25</v>
      </c>
      <c r="K232" t="s">
        <v>25</v>
      </c>
      <c r="Q232" s="213" t="s">
        <v>5409</v>
      </c>
      <c r="R232" s="213" t="s">
        <v>5619</v>
      </c>
      <c r="S232" s="240">
        <v>-48150</v>
      </c>
      <c r="T232" s="210" t="s">
        <v>4800</v>
      </c>
      <c r="U232" s="210">
        <v>154791</v>
      </c>
      <c r="V232" s="111">
        <v>293.53250000000003</v>
      </c>
      <c r="W232" s="111">
        <f t="shared" si="71"/>
        <v>45436189.207500003</v>
      </c>
      <c r="X232" s="97" t="s">
        <v>452</v>
      </c>
      <c r="AH232" s="97">
        <v>212</v>
      </c>
      <c r="AI232" s="111" t="s">
        <v>5526</v>
      </c>
      <c r="AJ232" s="111">
        <v>50000000</v>
      </c>
      <c r="AK232" s="97">
        <v>24</v>
      </c>
      <c r="AL232" s="20">
        <f t="shared" si="80"/>
        <v>165</v>
      </c>
      <c r="AM232" s="115">
        <f t="shared" si="81"/>
        <v>8250000000</v>
      </c>
      <c r="AN232" s="20" t="s">
        <v>4690</v>
      </c>
    </row>
    <row r="233" spans="4:45">
      <c r="D233" s="94"/>
      <c r="E233" s="94"/>
      <c r="G233" s="210" t="s">
        <v>5683</v>
      </c>
      <c r="H233" s="111">
        <v>2245515.5410799999</v>
      </c>
      <c r="J233" t="s">
        <v>25</v>
      </c>
      <c r="Q233" s="19" t="s">
        <v>5632</v>
      </c>
      <c r="R233" s="19" t="s">
        <v>5629</v>
      </c>
      <c r="S233" s="115">
        <v>3123901.3702000002</v>
      </c>
      <c r="T233" s="210" t="s">
        <v>4800</v>
      </c>
      <c r="U233" s="210">
        <v>-11923</v>
      </c>
      <c r="V233" s="111">
        <v>293.53250000000003</v>
      </c>
      <c r="W233" s="111">
        <f t="shared" si="71"/>
        <v>-3499787.9975000005</v>
      </c>
      <c r="X233" s="97" t="s">
        <v>452</v>
      </c>
      <c r="AH233" s="97">
        <v>213</v>
      </c>
      <c r="AI233" s="111" t="s">
        <v>5573</v>
      </c>
      <c r="AJ233" s="111">
        <v>-58196600</v>
      </c>
      <c r="AK233" s="97">
        <v>22</v>
      </c>
      <c r="AL233" s="20">
        <f t="shared" si="80"/>
        <v>141</v>
      </c>
      <c r="AM233" s="115">
        <f t="shared" si="81"/>
        <v>-8205720600</v>
      </c>
      <c r="AN233" s="20" t="s">
        <v>4880</v>
      </c>
    </row>
    <row r="234" spans="4:45">
      <c r="G234" s="210" t="s">
        <v>5685</v>
      </c>
      <c r="H234" s="111">
        <v>18404699.3442</v>
      </c>
      <c r="Q234" s="213" t="s">
        <v>5409</v>
      </c>
      <c r="R234" s="213" t="s">
        <v>5643</v>
      </c>
      <c r="S234" s="240">
        <v>-50000</v>
      </c>
      <c r="T234" s="210" t="s">
        <v>4812</v>
      </c>
      <c r="U234" s="210">
        <v>8424</v>
      </c>
      <c r="V234" s="111">
        <v>299.15170000000001</v>
      </c>
      <c r="W234" s="111">
        <f t="shared" si="71"/>
        <v>2520053.9208</v>
      </c>
      <c r="X234" s="97" t="s">
        <v>452</v>
      </c>
      <c r="AH234" s="97">
        <v>214</v>
      </c>
      <c r="AI234" s="111" t="s">
        <v>5619</v>
      </c>
      <c r="AJ234" s="111">
        <v>25000</v>
      </c>
      <c r="AK234" s="97">
        <v>8</v>
      </c>
      <c r="AL234" s="20">
        <f t="shared" si="80"/>
        <v>119</v>
      </c>
      <c r="AM234" s="115">
        <f t="shared" si="81"/>
        <v>2975000</v>
      </c>
      <c r="AN234" s="20"/>
    </row>
    <row r="235" spans="4:45">
      <c r="G235" s="210" t="s">
        <v>5688</v>
      </c>
      <c r="H235" s="111">
        <v>2264658.5922190002</v>
      </c>
      <c r="Q235" s="213" t="s">
        <v>5409</v>
      </c>
      <c r="R235" s="213" t="s">
        <v>5649</v>
      </c>
      <c r="S235" s="240">
        <v>-120000</v>
      </c>
      <c r="T235" s="210" t="s">
        <v>4847</v>
      </c>
      <c r="U235" s="210">
        <v>15943</v>
      </c>
      <c r="V235" s="111">
        <v>307.34415000000001</v>
      </c>
      <c r="W235" s="111">
        <f t="shared" si="71"/>
        <v>4899987.78345</v>
      </c>
      <c r="X235" s="97" t="s">
        <v>452</v>
      </c>
      <c r="AH235" s="97">
        <v>215</v>
      </c>
      <c r="AI235" s="111" t="s">
        <v>5643</v>
      </c>
      <c r="AJ235" s="111">
        <v>70000</v>
      </c>
      <c r="AK235" s="97">
        <v>6</v>
      </c>
      <c r="AL235" s="20">
        <f t="shared" si="80"/>
        <v>111</v>
      </c>
      <c r="AM235" s="115">
        <f t="shared" si="81"/>
        <v>7770000</v>
      </c>
      <c r="AN235" s="20"/>
    </row>
    <row r="236" spans="4:45">
      <c r="G236" s="210" t="s">
        <v>5690</v>
      </c>
      <c r="H236" s="111">
        <v>22877413.789960001</v>
      </c>
      <c r="Q236" s="271" t="s">
        <v>5409</v>
      </c>
      <c r="R236" s="271" t="s">
        <v>5637</v>
      </c>
      <c r="S236" s="92">
        <v>-150000</v>
      </c>
      <c r="T236" s="210" t="s">
        <v>4866</v>
      </c>
      <c r="U236" s="210">
        <v>3741</v>
      </c>
      <c r="V236" s="111">
        <v>307.34415000000001</v>
      </c>
      <c r="W236" s="111">
        <f t="shared" si="71"/>
        <v>1149774.4651500001</v>
      </c>
      <c r="X236" s="97" t="s">
        <v>452</v>
      </c>
      <c r="Z236" t="s">
        <v>25</v>
      </c>
      <c r="AH236" s="97">
        <v>216</v>
      </c>
      <c r="AI236" s="111" t="s">
        <v>5649</v>
      </c>
      <c r="AJ236" s="111">
        <v>70000</v>
      </c>
      <c r="AK236" s="97">
        <v>1</v>
      </c>
      <c r="AL236" s="20">
        <f t="shared" si="80"/>
        <v>105</v>
      </c>
      <c r="AM236" s="115">
        <f t="shared" si="81"/>
        <v>7350000</v>
      </c>
      <c r="AN236" s="20"/>
      <c r="AR236" t="s">
        <v>25</v>
      </c>
    </row>
    <row r="237" spans="4:45">
      <c r="G237" s="210" t="s">
        <v>5693</v>
      </c>
      <c r="H237" s="111">
        <v>2362539.4373280001</v>
      </c>
      <c r="Q237" s="271" t="s">
        <v>5409</v>
      </c>
      <c r="R237" s="271" t="s">
        <v>5663</v>
      </c>
      <c r="S237" s="92">
        <v>-200000</v>
      </c>
      <c r="T237" s="210" t="s">
        <v>4871</v>
      </c>
      <c r="U237" s="210">
        <v>-6207</v>
      </c>
      <c r="V237" s="111">
        <v>322.214</v>
      </c>
      <c r="W237" s="111">
        <f t="shared" si="71"/>
        <v>-1999982.298</v>
      </c>
      <c r="X237" s="97" t="s">
        <v>744</v>
      </c>
      <c r="AH237" s="97">
        <v>217</v>
      </c>
      <c r="AI237" s="111" t="s">
        <v>5637</v>
      </c>
      <c r="AJ237" s="111">
        <v>150000</v>
      </c>
      <c r="AK237" s="97">
        <v>0</v>
      </c>
      <c r="AL237" s="20">
        <f t="shared" si="80"/>
        <v>104</v>
      </c>
      <c r="AM237" s="115">
        <f t="shared" si="81"/>
        <v>15600000</v>
      </c>
      <c r="AN237" s="20"/>
      <c r="AQ237" t="s">
        <v>25</v>
      </c>
      <c r="AS237" t="s">
        <v>25</v>
      </c>
    </row>
    <row r="238" spans="4:45">
      <c r="G238" s="210" t="s">
        <v>5694</v>
      </c>
      <c r="H238" s="111">
        <v>16042676.656608</v>
      </c>
      <c r="Q238" s="271" t="s">
        <v>5409</v>
      </c>
      <c r="R238" s="271" t="s">
        <v>5668</v>
      </c>
      <c r="S238" s="92">
        <v>-120000</v>
      </c>
      <c r="T238" s="210" t="s">
        <v>4871</v>
      </c>
      <c r="U238" s="210">
        <v>6207</v>
      </c>
      <c r="V238" s="111">
        <v>322.214</v>
      </c>
      <c r="W238" s="111">
        <f t="shared" si="71"/>
        <v>1999982.298</v>
      </c>
      <c r="X238" s="97" t="s">
        <v>4410</v>
      </c>
      <c r="AH238" s="97">
        <v>218</v>
      </c>
      <c r="AI238" s="111" t="s">
        <v>5637</v>
      </c>
      <c r="AJ238" s="111">
        <v>-95599450</v>
      </c>
      <c r="AK238" s="97">
        <v>7</v>
      </c>
      <c r="AL238" s="20">
        <f t="shared" si="80"/>
        <v>104</v>
      </c>
      <c r="AM238" s="115">
        <f t="shared" si="81"/>
        <v>-9942342800</v>
      </c>
      <c r="AN238" s="20" t="s">
        <v>5652</v>
      </c>
      <c r="AR238" t="s">
        <v>25</v>
      </c>
    </row>
    <row r="239" spans="4:45">
      <c r="G239" s="210" t="s">
        <v>5695</v>
      </c>
      <c r="H239" s="111">
        <v>18403291.448284</v>
      </c>
      <c r="J239" t="s">
        <v>25</v>
      </c>
      <c r="Q239" s="271" t="s">
        <v>5409</v>
      </c>
      <c r="R239" s="271" t="s">
        <v>5709</v>
      </c>
      <c r="S239" s="92">
        <v>-6000000</v>
      </c>
      <c r="T239" s="210" t="s">
        <v>4819</v>
      </c>
      <c r="U239" s="210">
        <v>776</v>
      </c>
      <c r="V239" s="111">
        <v>322.214</v>
      </c>
      <c r="W239" s="111">
        <f t="shared" si="71"/>
        <v>250038.06400000001</v>
      </c>
      <c r="X239" s="97" t="s">
        <v>452</v>
      </c>
      <c r="AH239" s="97">
        <v>219</v>
      </c>
      <c r="AI239" s="111" t="s">
        <v>5663</v>
      </c>
      <c r="AJ239" s="111">
        <v>200000</v>
      </c>
      <c r="AK239" s="97">
        <v>7</v>
      </c>
      <c r="AL239" s="20">
        <f t="shared" si="80"/>
        <v>97</v>
      </c>
      <c r="AM239" s="115">
        <f t="shared" si="81"/>
        <v>19400000</v>
      </c>
      <c r="AN239" s="20"/>
      <c r="AR239" t="s">
        <v>25</v>
      </c>
    </row>
    <row r="240" spans="4:45" ht="45">
      <c r="G240" s="210" t="s">
        <v>5698</v>
      </c>
      <c r="H240" s="111">
        <v>10561447.246918</v>
      </c>
      <c r="J240" t="s">
        <v>25</v>
      </c>
      <c r="Q240" s="262" t="s">
        <v>5745</v>
      </c>
      <c r="R240" s="187" t="s">
        <v>5709</v>
      </c>
      <c r="S240" s="186">
        <v>-6200000</v>
      </c>
      <c r="T240" s="210" t="s">
        <v>4894</v>
      </c>
      <c r="U240" s="210">
        <v>1524</v>
      </c>
      <c r="V240" s="111">
        <v>314.95999999999998</v>
      </c>
      <c r="W240" s="111">
        <f t="shared" si="71"/>
        <v>479999.04</v>
      </c>
      <c r="X240" s="97" t="s">
        <v>1071</v>
      </c>
      <c r="AH240" s="97">
        <v>220</v>
      </c>
      <c r="AI240" s="111" t="s">
        <v>5668</v>
      </c>
      <c r="AJ240" s="111">
        <v>150000</v>
      </c>
      <c r="AK240" s="97">
        <v>5</v>
      </c>
      <c r="AL240" s="20">
        <f t="shared" si="80"/>
        <v>90</v>
      </c>
      <c r="AM240" s="115">
        <f t="shared" si="81"/>
        <v>13500000</v>
      </c>
      <c r="AN240" s="20"/>
    </row>
    <row r="241" spans="7:44">
      <c r="G241" s="210" t="s">
        <v>5699</v>
      </c>
      <c r="H241" s="111">
        <v>1226811.9176660001</v>
      </c>
      <c r="P241" t="s">
        <v>25</v>
      </c>
      <c r="Q241" s="19" t="s">
        <v>4966</v>
      </c>
      <c r="R241" s="19" t="s">
        <v>5709</v>
      </c>
      <c r="S241" s="115">
        <v>-1500000</v>
      </c>
      <c r="T241" s="210" t="s">
        <v>4901</v>
      </c>
      <c r="U241" s="210">
        <v>4435</v>
      </c>
      <c r="V241" s="111">
        <v>316.4375</v>
      </c>
      <c r="W241" s="111">
        <f t="shared" si="71"/>
        <v>1403400.3125</v>
      </c>
      <c r="X241" s="97" t="s">
        <v>452</v>
      </c>
      <c r="AH241" s="97">
        <v>221</v>
      </c>
      <c r="AI241" s="111" t="s">
        <v>5672</v>
      </c>
      <c r="AJ241" s="111">
        <v>310000</v>
      </c>
      <c r="AK241" s="97">
        <v>31</v>
      </c>
      <c r="AL241" s="20">
        <f t="shared" si="80"/>
        <v>85</v>
      </c>
      <c r="AM241" s="115">
        <f t="shared" si="81"/>
        <v>26350000</v>
      </c>
      <c r="AN241" s="20"/>
      <c r="AR241" t="s">
        <v>25</v>
      </c>
    </row>
    <row r="242" spans="7:44">
      <c r="G242" s="210" t="s">
        <v>5700</v>
      </c>
      <c r="H242" s="111">
        <v>39373959.190266006</v>
      </c>
      <c r="Q242" s="187" t="s">
        <v>5729</v>
      </c>
      <c r="R242" s="187" t="s">
        <v>5709</v>
      </c>
      <c r="S242" s="186">
        <v>-15000000</v>
      </c>
      <c r="T242" s="210" t="s">
        <v>4904</v>
      </c>
      <c r="U242" s="210">
        <v>624</v>
      </c>
      <c r="V242" s="111">
        <v>320.5</v>
      </c>
      <c r="W242" s="111">
        <f t="shared" si="71"/>
        <v>199992</v>
      </c>
      <c r="X242" s="97" t="s">
        <v>452</v>
      </c>
      <c r="AH242" s="97">
        <v>222</v>
      </c>
      <c r="AI242" s="111" t="s">
        <v>5709</v>
      </c>
      <c r="AJ242" s="111">
        <v>4200000</v>
      </c>
      <c r="AK242" s="97">
        <v>53</v>
      </c>
      <c r="AL242" s="20">
        <f t="shared" si="80"/>
        <v>54</v>
      </c>
      <c r="AM242" s="115">
        <f t="shared" si="81"/>
        <v>226800000</v>
      </c>
      <c r="AN242" s="20"/>
    </row>
    <row r="243" spans="7:44">
      <c r="G243" s="210" t="s">
        <v>5705</v>
      </c>
      <c r="H243" s="111">
        <v>27703487.063980002</v>
      </c>
      <c r="J243" t="s">
        <v>25</v>
      </c>
      <c r="Q243" s="187" t="s">
        <v>5728</v>
      </c>
      <c r="R243" s="187" t="s">
        <v>5709</v>
      </c>
      <c r="S243" s="186">
        <v>15000000</v>
      </c>
      <c r="T243" s="210" t="s">
        <v>4909</v>
      </c>
      <c r="U243" s="210">
        <v>1086</v>
      </c>
      <c r="V243" s="111">
        <v>317.55</v>
      </c>
      <c r="W243" s="111">
        <f t="shared" si="71"/>
        <v>344859.3</v>
      </c>
      <c r="X243" s="97" t="s">
        <v>452</v>
      </c>
      <c r="AH243" s="97">
        <v>223</v>
      </c>
      <c r="AI243" s="111" t="s">
        <v>5802</v>
      </c>
      <c r="AJ243" s="111">
        <v>260000000</v>
      </c>
      <c r="AK243" s="97">
        <v>1</v>
      </c>
      <c r="AL243" s="20">
        <f t="shared" si="80"/>
        <v>1</v>
      </c>
      <c r="AM243" s="115">
        <f t="shared" si="81"/>
        <v>260000000</v>
      </c>
      <c r="AN243" s="20" t="s">
        <v>5805</v>
      </c>
    </row>
    <row r="244" spans="7:44">
      <c r="G244" s="210" t="s">
        <v>5706</v>
      </c>
      <c r="H244" s="111">
        <v>8738896.6890719999</v>
      </c>
      <c r="O244" t="s">
        <v>25</v>
      </c>
      <c r="Q244" s="187" t="s">
        <v>5748</v>
      </c>
      <c r="R244" s="187" t="s">
        <v>5741</v>
      </c>
      <c r="S244" s="186">
        <v>-1500000</v>
      </c>
      <c r="T244" s="210" t="s">
        <v>4914</v>
      </c>
      <c r="U244" s="210">
        <v>2820</v>
      </c>
      <c r="V244" s="111">
        <v>319.1096</v>
      </c>
      <c r="W244" s="111">
        <f t="shared" si="71"/>
        <v>899889.07200000004</v>
      </c>
      <c r="X244" s="97" t="s">
        <v>452</v>
      </c>
      <c r="AH244" s="97"/>
      <c r="AI244" s="111"/>
      <c r="AJ244" s="111">
        <v>0</v>
      </c>
      <c r="AK244" s="97">
        <v>0</v>
      </c>
      <c r="AL244" s="20">
        <f t="shared" si="80"/>
        <v>0</v>
      </c>
      <c r="AM244" s="115">
        <f t="shared" si="81"/>
        <v>0</v>
      </c>
      <c r="AN244" s="20"/>
      <c r="AP244" t="s">
        <v>25</v>
      </c>
    </row>
    <row r="245" spans="7:44">
      <c r="G245" s="210" t="s">
        <v>4186</v>
      </c>
      <c r="H245" s="111">
        <v>348201.66738</v>
      </c>
      <c r="J245" t="s">
        <v>25</v>
      </c>
      <c r="Q245" s="187"/>
      <c r="R245" s="187"/>
      <c r="S245" s="186"/>
      <c r="T245" s="210" t="s">
        <v>4917</v>
      </c>
      <c r="U245" s="210">
        <v>1145</v>
      </c>
      <c r="V245" s="111">
        <v>325.44</v>
      </c>
      <c r="W245" s="111">
        <f t="shared" si="71"/>
        <v>372628.8</v>
      </c>
      <c r="X245" s="97" t="s">
        <v>452</v>
      </c>
      <c r="Y245" t="s">
        <v>25</v>
      </c>
      <c r="AH245" s="97"/>
      <c r="AI245" s="111"/>
      <c r="AJ245" s="111">
        <v>0</v>
      </c>
      <c r="AK245" s="97">
        <v>0</v>
      </c>
      <c r="AL245" s="20">
        <f t="shared" si="80"/>
        <v>0</v>
      </c>
      <c r="AM245" s="115">
        <f t="shared" si="81"/>
        <v>0</v>
      </c>
      <c r="AN245" s="20"/>
    </row>
    <row r="246" spans="7:44">
      <c r="G246" s="210" t="s">
        <v>5708</v>
      </c>
      <c r="H246" s="111">
        <v>4158090.8935679998</v>
      </c>
      <c r="J246" t="s">
        <v>25</v>
      </c>
      <c r="Q246" s="19"/>
      <c r="R246" s="19"/>
      <c r="S246" s="115"/>
      <c r="T246" s="210" t="s">
        <v>4925</v>
      </c>
      <c r="U246" s="210">
        <v>20153</v>
      </c>
      <c r="V246" s="111">
        <v>322</v>
      </c>
      <c r="W246" s="111">
        <f t="shared" si="71"/>
        <v>6489266</v>
      </c>
      <c r="X246" s="97" t="s">
        <v>452</v>
      </c>
      <c r="AH246" s="97"/>
      <c r="AI246" s="111"/>
      <c r="AJ246" s="111">
        <v>0</v>
      </c>
      <c r="AK246" s="97">
        <v>0</v>
      </c>
      <c r="AL246" s="20">
        <f t="shared" si="80"/>
        <v>0</v>
      </c>
      <c r="AM246" s="115">
        <f t="shared" si="81"/>
        <v>0</v>
      </c>
      <c r="AN246" s="20"/>
    </row>
    <row r="247" spans="7:44">
      <c r="G247" s="210" t="s">
        <v>5713</v>
      </c>
      <c r="H247" s="111">
        <v>110770524.97879399</v>
      </c>
      <c r="Q247" s="210"/>
      <c r="R247" s="210"/>
      <c r="S247" s="111"/>
      <c r="T247" s="210" t="s">
        <v>4935</v>
      </c>
      <c r="U247" s="210">
        <v>93720</v>
      </c>
      <c r="V247" s="111">
        <v>325.435</v>
      </c>
      <c r="W247" s="111">
        <f t="shared" si="71"/>
        <v>30499768.199999999</v>
      </c>
      <c r="X247" s="97" t="s">
        <v>1071</v>
      </c>
      <c r="AH247" s="97"/>
      <c r="AI247" s="111"/>
      <c r="AJ247" s="111">
        <v>0</v>
      </c>
      <c r="AK247" s="97">
        <v>0</v>
      </c>
      <c r="AL247" s="20">
        <f>AL248+AK247</f>
        <v>0</v>
      </c>
      <c r="AM247" s="115">
        <f t="shared" si="81"/>
        <v>0</v>
      </c>
      <c r="AN247" s="20"/>
    </row>
    <row r="248" spans="7:44">
      <c r="G248" s="210" t="s">
        <v>5730</v>
      </c>
      <c r="H248" s="111">
        <v>6684147.0064600008</v>
      </c>
      <c r="P248" t="s">
        <v>25</v>
      </c>
      <c r="Q248" s="210"/>
      <c r="R248" s="210"/>
      <c r="S248" s="111">
        <f>SUM(S195:S247)</f>
        <v>-14281634.306999996</v>
      </c>
      <c r="T248" s="210" t="s">
        <v>4935</v>
      </c>
      <c r="U248" s="210">
        <v>20895</v>
      </c>
      <c r="V248" s="111">
        <v>325.435</v>
      </c>
      <c r="W248" s="111">
        <f t="shared" si="71"/>
        <v>6799964.3250000002</v>
      </c>
      <c r="X248" s="97" t="s">
        <v>744</v>
      </c>
      <c r="AA248" t="s">
        <v>25</v>
      </c>
      <c r="AH248" s="97"/>
      <c r="AI248" s="111"/>
      <c r="AJ248" s="111">
        <v>0</v>
      </c>
      <c r="AK248" s="97"/>
      <c r="AL248" s="20">
        <f t="shared" si="80"/>
        <v>0</v>
      </c>
      <c r="AM248" s="115">
        <f t="shared" si="81"/>
        <v>0</v>
      </c>
      <c r="AN248" s="20"/>
    </row>
    <row r="249" spans="7:44">
      <c r="G249" s="210" t="s">
        <v>5735</v>
      </c>
      <c r="H249" s="111">
        <v>1826535.2307560001</v>
      </c>
      <c r="K249" t="s">
        <v>25</v>
      </c>
      <c r="Q249" s="41"/>
      <c r="R249" s="210"/>
      <c r="S249" s="210" t="s">
        <v>6</v>
      </c>
      <c r="T249" s="210" t="s">
        <v>4944</v>
      </c>
      <c r="U249" s="210">
        <v>2611</v>
      </c>
      <c r="V249" s="111">
        <v>325.435</v>
      </c>
      <c r="W249" s="111">
        <f t="shared" si="71"/>
        <v>849710.78500000003</v>
      </c>
      <c r="X249" s="97" t="s">
        <v>744</v>
      </c>
      <c r="AH249" s="97"/>
      <c r="AI249" s="111"/>
      <c r="AJ249" s="111"/>
      <c r="AK249" s="97">
        <v>0</v>
      </c>
      <c r="AL249" s="20">
        <f t="shared" si="80"/>
        <v>0</v>
      </c>
      <c r="AM249" s="115">
        <f t="shared" si="81"/>
        <v>0</v>
      </c>
      <c r="AN249" s="20"/>
      <c r="AP249" t="s">
        <v>25</v>
      </c>
    </row>
    <row r="250" spans="7:44">
      <c r="G250" s="210" t="s">
        <v>5739</v>
      </c>
      <c r="H250" s="111">
        <v>3577366.94</v>
      </c>
      <c r="Q250" s="94"/>
      <c r="T250" s="210" t="s">
        <v>4953</v>
      </c>
      <c r="U250" s="210">
        <v>6750</v>
      </c>
      <c r="V250" s="111">
        <v>339.3</v>
      </c>
      <c r="W250" s="111">
        <f t="shared" si="71"/>
        <v>2290275</v>
      </c>
      <c r="X250" s="97" t="s">
        <v>744</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Q251" s="94" t="s">
        <v>25</v>
      </c>
      <c r="R251" s="94" t="s">
        <v>25</v>
      </c>
      <c r="T251" s="210" t="s">
        <v>4961</v>
      </c>
      <c r="U251" s="210">
        <v>1850</v>
      </c>
      <c r="V251" s="111">
        <v>334.10050000000001</v>
      </c>
      <c r="W251" s="111">
        <f t="shared" si="71"/>
        <v>618085.92500000005</v>
      </c>
      <c r="X251" s="97" t="s">
        <v>452</v>
      </c>
      <c r="Y251" t="s">
        <v>25</v>
      </c>
      <c r="AH251" s="97"/>
      <c r="AI251" s="97"/>
      <c r="AJ251" s="97" t="s">
        <v>4043</v>
      </c>
      <c r="AK251" s="97"/>
      <c r="AL251" s="97"/>
      <c r="AM251" s="97" t="s">
        <v>284</v>
      </c>
      <c r="AN251" s="97" t="s">
        <v>928</v>
      </c>
    </row>
    <row r="252" spans="7:44">
      <c r="G252" s="210" t="s">
        <v>5746</v>
      </c>
      <c r="H252" s="111">
        <v>242957252.40163299</v>
      </c>
      <c r="Q252" s="94" t="s">
        <v>25</v>
      </c>
      <c r="R252" s="94" t="s">
        <v>25</v>
      </c>
      <c r="S252" t="s">
        <v>25</v>
      </c>
      <c r="T252" s="210" t="s">
        <v>4961</v>
      </c>
      <c r="U252" s="210">
        <v>-1194</v>
      </c>
      <c r="V252" s="111">
        <v>335</v>
      </c>
      <c r="W252" s="111">
        <f t="shared" si="71"/>
        <v>-399990</v>
      </c>
      <c r="X252" s="97" t="s">
        <v>4410</v>
      </c>
      <c r="Y252" t="s">
        <v>25</v>
      </c>
      <c r="AH252" s="97"/>
      <c r="AI252" s="97"/>
      <c r="AJ252" s="97"/>
      <c r="AK252" s="97"/>
      <c r="AL252" s="97"/>
      <c r="AM252" s="97"/>
      <c r="AN252" s="97"/>
    </row>
    <row r="253" spans="7:44">
      <c r="G253" s="210" t="s">
        <v>5750</v>
      </c>
      <c r="H253" s="111">
        <v>7357181.2750800001</v>
      </c>
      <c r="J253" t="s">
        <v>25</v>
      </c>
      <c r="S253" t="s">
        <v>25</v>
      </c>
      <c r="T253" s="210" t="s">
        <v>4961</v>
      </c>
      <c r="U253" s="210">
        <v>1194</v>
      </c>
      <c r="V253" s="111">
        <v>335</v>
      </c>
      <c r="W253" s="111">
        <f t="shared" si="71"/>
        <v>399990</v>
      </c>
      <c r="X253" s="97" t="s">
        <v>744</v>
      </c>
      <c r="AH253" s="97"/>
      <c r="AI253" s="97"/>
      <c r="AJ253" s="97"/>
      <c r="AK253" s="97"/>
      <c r="AL253" s="97"/>
      <c r="AM253" s="97" t="s">
        <v>4044</v>
      </c>
      <c r="AN253" s="97">
        <v>1.6667000000000001E-2</v>
      </c>
      <c r="AQ253" t="s">
        <v>25</v>
      </c>
    </row>
    <row r="254" spans="7:44">
      <c r="G254" s="210" t="s">
        <v>5754</v>
      </c>
      <c r="H254" s="111">
        <v>14951411.942400001</v>
      </c>
      <c r="Q254" s="97" t="s">
        <v>744</v>
      </c>
      <c r="R254" s="97"/>
      <c r="S254" t="s">
        <v>25</v>
      </c>
      <c r="T254" s="210" t="s">
        <v>4968</v>
      </c>
      <c r="U254" s="210">
        <v>433</v>
      </c>
      <c r="V254" s="111">
        <v>345.68</v>
      </c>
      <c r="W254" s="111">
        <f t="shared" si="71"/>
        <v>149679.44</v>
      </c>
      <c r="X254" s="97" t="s">
        <v>744</v>
      </c>
      <c r="AH254" s="97"/>
      <c r="AI254" s="97"/>
      <c r="AJ254" s="97"/>
      <c r="AK254" s="97"/>
      <c r="AL254" s="97"/>
      <c r="AM254" s="97"/>
      <c r="AN254" s="97"/>
    </row>
    <row r="255" spans="7:44">
      <c r="G255" s="210" t="s">
        <v>5758</v>
      </c>
      <c r="H255" s="111">
        <v>47928209.377011999</v>
      </c>
      <c r="Q255" s="97" t="s">
        <v>4403</v>
      </c>
      <c r="R255" s="93">
        <v>172908000</v>
      </c>
      <c r="T255" s="210" t="s">
        <v>4972</v>
      </c>
      <c r="U255" s="210">
        <v>55459</v>
      </c>
      <c r="V255" s="111">
        <v>362.51978000000003</v>
      </c>
      <c r="W255" s="111">
        <f t="shared" si="71"/>
        <v>20104984.479020003</v>
      </c>
      <c r="X255" s="97" t="s">
        <v>452</v>
      </c>
      <c r="AH255" s="97"/>
      <c r="AI255" s="97" t="s">
        <v>4045</v>
      </c>
      <c r="AJ255" s="93">
        <f>AJ250+AN250</f>
        <v>950713478.18768013</v>
      </c>
      <c r="AK255" s="97"/>
      <c r="AL255" s="97"/>
      <c r="AM255" s="97"/>
      <c r="AN255" s="97"/>
    </row>
    <row r="256" spans="7:44">
      <c r="G256" s="210" t="s">
        <v>5760</v>
      </c>
      <c r="H256" s="111">
        <v>2281595.69937</v>
      </c>
      <c r="J256" t="s">
        <v>25</v>
      </c>
      <c r="Q256" s="97" t="s">
        <v>4437</v>
      </c>
      <c r="R256" s="93">
        <v>1400000</v>
      </c>
      <c r="T256" s="210" t="s">
        <v>4976</v>
      </c>
      <c r="U256" s="210">
        <v>-57212</v>
      </c>
      <c r="V256" s="111">
        <v>368.45400000000001</v>
      </c>
      <c r="W256" s="111">
        <f t="shared" si="71"/>
        <v>-21079990.248</v>
      </c>
      <c r="X256" s="97" t="s">
        <v>452</v>
      </c>
      <c r="AI256" t="s">
        <v>4048</v>
      </c>
      <c r="AJ256" s="112">
        <f>SUM(N39:N47)</f>
        <v>5576862461</v>
      </c>
      <c r="AM256" t="s">
        <v>25</v>
      </c>
    </row>
    <row r="257" spans="7:45">
      <c r="G257" s="210" t="s">
        <v>5762</v>
      </c>
      <c r="H257" s="111">
        <v>2964916.035069</v>
      </c>
      <c r="Q257" s="97" t="s">
        <v>4209</v>
      </c>
      <c r="R257" s="93">
        <v>247393</v>
      </c>
      <c r="S257" t="s">
        <v>25</v>
      </c>
      <c r="T257" s="210" t="s">
        <v>4977</v>
      </c>
      <c r="U257" s="210">
        <v>-15881</v>
      </c>
      <c r="V257" s="111">
        <v>374.61599999999999</v>
      </c>
      <c r="W257" s="111">
        <f t="shared" si="71"/>
        <v>-5949276.6959999995</v>
      </c>
      <c r="X257" s="97" t="s">
        <v>452</v>
      </c>
      <c r="AI257" t="s">
        <v>4119</v>
      </c>
      <c r="AJ257" s="112">
        <f>AJ256-AJ250</f>
        <v>4830946710</v>
      </c>
      <c r="AM257" t="s">
        <v>25</v>
      </c>
    </row>
    <row r="258" spans="7:45">
      <c r="G258" s="210" t="s">
        <v>5763</v>
      </c>
      <c r="H258" s="111">
        <v>6460549.4269619994</v>
      </c>
      <c r="K258" t="s">
        <v>25</v>
      </c>
      <c r="Q258" s="97" t="s">
        <v>4208</v>
      </c>
      <c r="R258" s="93">
        <v>6780000</v>
      </c>
      <c r="T258" s="210" t="s">
        <v>4983</v>
      </c>
      <c r="U258" s="210">
        <v>-41289</v>
      </c>
      <c r="V258" s="111">
        <v>372.27</v>
      </c>
      <c r="W258" s="111">
        <f t="shared" si="71"/>
        <v>-15370656.029999999</v>
      </c>
      <c r="X258" s="97" t="s">
        <v>452</v>
      </c>
      <c r="AI258" t="s">
        <v>928</v>
      </c>
      <c r="AJ258" s="112">
        <f>AN250</f>
        <v>204797727.1876801</v>
      </c>
      <c r="AN258" t="s">
        <v>25</v>
      </c>
    </row>
    <row r="259" spans="7:45" ht="15" customHeight="1">
      <c r="G259" s="210" t="s">
        <v>5765</v>
      </c>
      <c r="H259" s="111">
        <v>5212319.8968359996</v>
      </c>
      <c r="Q259" s="97" t="s">
        <v>4539</v>
      </c>
      <c r="R259" s="93">
        <v>-4000000</v>
      </c>
      <c r="T259" s="210" t="s">
        <v>4989</v>
      </c>
      <c r="U259" s="210">
        <v>13563</v>
      </c>
      <c r="V259" s="111">
        <v>365.69799999999998</v>
      </c>
      <c r="W259" s="111">
        <f t="shared" si="71"/>
        <v>4959961.9739999995</v>
      </c>
      <c r="X259" s="97" t="s">
        <v>452</v>
      </c>
      <c r="AI259" t="s">
        <v>4049</v>
      </c>
      <c r="AJ259" s="112">
        <f>AJ256-AJ255</f>
        <v>4626148982.8123198</v>
      </c>
      <c r="AN259" t="s">
        <v>25</v>
      </c>
    </row>
    <row r="260" spans="7:45">
      <c r="G260" s="210" t="s">
        <v>5768</v>
      </c>
      <c r="H260" s="111">
        <v>4524496.4792809999</v>
      </c>
      <c r="Q260" s="97" t="s">
        <v>4565</v>
      </c>
      <c r="R260" s="93">
        <v>16727037</v>
      </c>
      <c r="T260" s="210" t="s">
        <v>4989</v>
      </c>
      <c r="U260" s="210">
        <v>27344</v>
      </c>
      <c r="V260" s="111">
        <v>365.69799999999998</v>
      </c>
      <c r="W260" s="111">
        <f t="shared" si="71"/>
        <v>9999646.1119999997</v>
      </c>
      <c r="X260" s="97" t="s">
        <v>452</v>
      </c>
      <c r="AM260" t="s">
        <v>25</v>
      </c>
    </row>
    <row r="261" spans="7:45" ht="30">
      <c r="G261" s="210" t="s">
        <v>5770</v>
      </c>
      <c r="H261" s="111">
        <v>22866040.240959998</v>
      </c>
      <c r="Q261" s="97" t="s">
        <v>4570</v>
      </c>
      <c r="R261" s="93">
        <v>46460683</v>
      </c>
      <c r="S261" t="s">
        <v>25</v>
      </c>
      <c r="T261" s="210" t="s">
        <v>4996</v>
      </c>
      <c r="U261" s="210">
        <v>-103145</v>
      </c>
      <c r="V261" s="111">
        <v>393.334</v>
      </c>
      <c r="W261" s="111">
        <f t="shared" si="71"/>
        <v>-40570435.43</v>
      </c>
      <c r="X261" s="36" t="s">
        <v>5001</v>
      </c>
      <c r="AJ261" t="s">
        <v>25</v>
      </c>
    </row>
    <row r="262" spans="7:45">
      <c r="G262" s="210" t="s">
        <v>5772</v>
      </c>
      <c r="H262" s="111">
        <v>15359304.269892</v>
      </c>
      <c r="Q262" s="97" t="s">
        <v>4571</v>
      </c>
      <c r="R262" s="93">
        <v>19663646</v>
      </c>
      <c r="T262" s="210" t="s">
        <v>4996</v>
      </c>
      <c r="U262" s="210">
        <v>-369</v>
      </c>
      <c r="V262" s="111">
        <v>393.334</v>
      </c>
      <c r="W262" s="111">
        <f t="shared" si="71"/>
        <v>-145140.24600000001</v>
      </c>
      <c r="X262" s="36" t="s">
        <v>5075</v>
      </c>
    </row>
    <row r="263" spans="7:45" ht="17.25" customHeight="1">
      <c r="G263" s="210" t="s">
        <v>5780</v>
      </c>
      <c r="H263" s="111">
        <v>2868508.1846330003</v>
      </c>
      <c r="Q263" s="97" t="s">
        <v>4594</v>
      </c>
      <c r="R263" s="93">
        <v>4374525</v>
      </c>
      <c r="T263" s="210" t="s">
        <v>4996</v>
      </c>
      <c r="U263" s="210">
        <v>-889</v>
      </c>
      <c r="V263" s="111">
        <v>393.334</v>
      </c>
      <c r="W263" s="111">
        <f t="shared" si="71"/>
        <v>-349673.92599999998</v>
      </c>
      <c r="X263" s="36" t="s">
        <v>5076</v>
      </c>
    </row>
    <row r="264" spans="7:45">
      <c r="G264" s="210" t="s">
        <v>5782</v>
      </c>
      <c r="H264" s="111">
        <v>17450393.011856001</v>
      </c>
      <c r="Q264" s="97" t="s">
        <v>4605</v>
      </c>
      <c r="R264" s="93">
        <v>6550580</v>
      </c>
      <c r="T264" s="210" t="s">
        <v>5005</v>
      </c>
      <c r="U264" s="210">
        <v>2546</v>
      </c>
      <c r="V264" s="111">
        <v>393</v>
      </c>
      <c r="W264" s="111">
        <f t="shared" si="71"/>
        <v>1000578</v>
      </c>
      <c r="X264" s="36" t="s">
        <v>452</v>
      </c>
    </row>
    <row r="265" spans="7:45">
      <c r="G265" s="210" t="s">
        <v>5784</v>
      </c>
      <c r="H265" s="111">
        <v>31388943.254850004</v>
      </c>
      <c r="Q265" s="97" t="s">
        <v>4607</v>
      </c>
      <c r="R265" s="93">
        <v>6650895</v>
      </c>
      <c r="T265" s="210" t="s">
        <v>5006</v>
      </c>
      <c r="U265" s="210">
        <v>1034</v>
      </c>
      <c r="V265" s="111">
        <v>386.608</v>
      </c>
      <c r="W265" s="111">
        <f t="shared" si="71"/>
        <v>399752.67200000002</v>
      </c>
      <c r="X265" s="36" t="s">
        <v>452</v>
      </c>
    </row>
    <row r="266" spans="7:45">
      <c r="G266" s="210" t="s">
        <v>5785</v>
      </c>
      <c r="H266" s="111">
        <v>30912095.373174001</v>
      </c>
      <c r="J266" t="s">
        <v>25</v>
      </c>
      <c r="Q266" s="97" t="s">
        <v>4624</v>
      </c>
      <c r="R266" s="93">
        <v>2145814</v>
      </c>
      <c r="T266" s="210" t="s">
        <v>5013</v>
      </c>
      <c r="U266" s="210">
        <v>300</v>
      </c>
      <c r="V266" s="111">
        <v>400</v>
      </c>
      <c r="W266" s="111">
        <f t="shared" si="71"/>
        <v>120000</v>
      </c>
      <c r="X266" s="36" t="s">
        <v>452</v>
      </c>
      <c r="AH266" s="97" t="s">
        <v>3625</v>
      </c>
      <c r="AI266" s="97" t="s">
        <v>180</v>
      </c>
      <c r="AJ266" s="97" t="s">
        <v>267</v>
      </c>
      <c r="AK266" s="97" t="s">
        <v>4042</v>
      </c>
      <c r="AL266" s="97" t="s">
        <v>4034</v>
      </c>
      <c r="AM266" s="97" t="s">
        <v>282</v>
      </c>
      <c r="AN266" s="97" t="s">
        <v>4269</v>
      </c>
    </row>
    <row r="267" spans="7:45" ht="20.25" customHeight="1">
      <c r="G267" s="210" t="s">
        <v>5787</v>
      </c>
      <c r="H267" s="111">
        <v>19602926.115093999</v>
      </c>
      <c r="J267" t="s">
        <v>25</v>
      </c>
      <c r="Q267" s="97" t="s">
        <v>4635</v>
      </c>
      <c r="R267" s="93">
        <v>4369730</v>
      </c>
      <c r="T267" s="210" t="s">
        <v>5022</v>
      </c>
      <c r="U267" s="210">
        <v>782</v>
      </c>
      <c r="V267" s="111">
        <v>409</v>
      </c>
      <c r="W267" s="111">
        <f t="shared" si="71"/>
        <v>319838</v>
      </c>
      <c r="X267" s="36" t="s">
        <v>744</v>
      </c>
      <c r="AH267" s="97">
        <v>1</v>
      </c>
      <c r="AI267" s="97" t="s">
        <v>3933</v>
      </c>
      <c r="AJ267" s="115">
        <v>3555820</v>
      </c>
      <c r="AK267" s="97">
        <v>2</v>
      </c>
      <c r="AL267" s="97">
        <f>AK267+AL268</f>
        <v>843</v>
      </c>
      <c r="AM267" s="97">
        <f>AJ267*AL267</f>
        <v>2997556260</v>
      </c>
      <c r="AN267" s="97" t="s">
        <v>4287</v>
      </c>
      <c r="AS267" t="s">
        <v>25</v>
      </c>
    </row>
    <row r="268" spans="7:45">
      <c r="G268" s="210" t="s">
        <v>5792</v>
      </c>
      <c r="H268" s="111">
        <v>34458590.308710001</v>
      </c>
      <c r="Q268" s="97" t="s">
        <v>4637</v>
      </c>
      <c r="R268" s="93">
        <v>8739459</v>
      </c>
      <c r="S268" t="s">
        <v>25</v>
      </c>
      <c r="T268" s="210" t="s">
        <v>5026</v>
      </c>
      <c r="U268" s="210">
        <v>1220</v>
      </c>
      <c r="V268" s="111">
        <v>409.9</v>
      </c>
      <c r="W268" s="111">
        <f t="shared" si="71"/>
        <v>500078</v>
      </c>
      <c r="X268" s="36" t="s">
        <v>744</v>
      </c>
      <c r="AH268" s="97">
        <v>2</v>
      </c>
      <c r="AI268" s="97" t="s">
        <v>4008</v>
      </c>
      <c r="AJ268" s="115">
        <v>1720837</v>
      </c>
      <c r="AK268" s="97">
        <v>51</v>
      </c>
      <c r="AL268" s="97">
        <f t="shared" ref="AL268:AL277" si="82">AK268+AL269</f>
        <v>841</v>
      </c>
      <c r="AM268" s="97">
        <f t="shared" ref="AM268:AM296" si="83">AJ268*AL268</f>
        <v>1447223917</v>
      </c>
      <c r="AN268" s="97" t="s">
        <v>4288</v>
      </c>
    </row>
    <row r="269" spans="7:45" ht="21.75" customHeight="1">
      <c r="G269" s="210" t="s">
        <v>5795</v>
      </c>
      <c r="H269" s="111">
        <v>21697868.203256</v>
      </c>
      <c r="Q269" s="97" t="s">
        <v>4646</v>
      </c>
      <c r="R269" s="93">
        <v>6667654</v>
      </c>
      <c r="T269" s="210" t="s">
        <v>5028</v>
      </c>
      <c r="U269" s="210">
        <v>1285</v>
      </c>
      <c r="V269" s="111">
        <v>388.84</v>
      </c>
      <c r="W269" s="111">
        <f t="shared" si="71"/>
        <v>499659.39999999997</v>
      </c>
      <c r="X269" s="36" t="s">
        <v>452</v>
      </c>
      <c r="AH269" s="97">
        <v>3</v>
      </c>
      <c r="AI269" s="97" t="s">
        <v>4113</v>
      </c>
      <c r="AJ269" s="115">
        <v>150000</v>
      </c>
      <c r="AK269" s="97">
        <v>3</v>
      </c>
      <c r="AL269" s="97">
        <f t="shared" si="82"/>
        <v>790</v>
      </c>
      <c r="AM269" s="97">
        <f t="shared" si="83"/>
        <v>118500000</v>
      </c>
      <c r="AN269" s="97"/>
    </row>
    <row r="270" spans="7:45">
      <c r="G270" s="210" t="s">
        <v>5797</v>
      </c>
      <c r="H270" s="111">
        <v>25340079.252110001</v>
      </c>
      <c r="Q270" s="97" t="s">
        <v>4654</v>
      </c>
      <c r="R270" s="93">
        <v>8981245</v>
      </c>
      <c r="T270" s="210" t="s">
        <v>5018</v>
      </c>
      <c r="U270" s="210">
        <v>1924</v>
      </c>
      <c r="V270" s="111">
        <v>386.69600000000003</v>
      </c>
      <c r="W270" s="111">
        <f t="shared" si="71"/>
        <v>744003.10400000005</v>
      </c>
      <c r="X270" s="36" t="s">
        <v>452</v>
      </c>
      <c r="AH270" s="97">
        <v>4</v>
      </c>
      <c r="AI270" s="97" t="s">
        <v>4128</v>
      </c>
      <c r="AJ270" s="115">
        <v>-95000</v>
      </c>
      <c r="AK270" s="97">
        <v>8</v>
      </c>
      <c r="AL270" s="97">
        <f t="shared" si="82"/>
        <v>787</v>
      </c>
      <c r="AM270" s="97">
        <f t="shared" si="83"/>
        <v>-74765000</v>
      </c>
      <c r="AN270" s="97"/>
    </row>
    <row r="271" spans="7:45">
      <c r="G271" s="210" t="s">
        <v>5798</v>
      </c>
      <c r="H271" s="111">
        <v>14780983.183526</v>
      </c>
      <c r="Q271" s="97" t="s">
        <v>4658</v>
      </c>
      <c r="R271" s="93">
        <v>9181756</v>
      </c>
      <c r="T271" s="210" t="s">
        <v>5044</v>
      </c>
      <c r="U271" s="210">
        <v>165</v>
      </c>
      <c r="V271" s="111">
        <v>393.5</v>
      </c>
      <c r="W271" s="111">
        <f t="shared" si="71"/>
        <v>64927.5</v>
      </c>
      <c r="X271" s="36" t="s">
        <v>452</v>
      </c>
      <c r="AH271" s="97">
        <v>5</v>
      </c>
      <c r="AI271" s="97" t="s">
        <v>4153</v>
      </c>
      <c r="AJ271" s="115">
        <v>3150000</v>
      </c>
      <c r="AK271" s="97">
        <v>16</v>
      </c>
      <c r="AL271" s="97">
        <f t="shared" si="82"/>
        <v>779</v>
      </c>
      <c r="AM271" s="97">
        <f t="shared" si="83"/>
        <v>2453850000</v>
      </c>
      <c r="AN271" s="97"/>
      <c r="AR271" t="s">
        <v>25</v>
      </c>
    </row>
    <row r="272" spans="7:45" ht="30">
      <c r="G272" s="210" t="s">
        <v>5802</v>
      </c>
      <c r="H272" s="111">
        <v>17804396.448481999</v>
      </c>
      <c r="Q272" s="97" t="s">
        <v>4661</v>
      </c>
      <c r="R272" s="93">
        <v>11811208</v>
      </c>
      <c r="S272" t="s">
        <v>25</v>
      </c>
      <c r="T272" s="210" t="s">
        <v>5050</v>
      </c>
      <c r="U272" s="210">
        <v>-34859</v>
      </c>
      <c r="V272" s="111">
        <v>403.1585</v>
      </c>
      <c r="W272" s="111">
        <f t="shared" si="71"/>
        <v>-14053702.1515</v>
      </c>
      <c r="X272" s="36" t="s">
        <v>5053</v>
      </c>
      <c r="AH272" s="97">
        <v>6</v>
      </c>
      <c r="AI272" s="97" t="s">
        <v>4218</v>
      </c>
      <c r="AJ272" s="115">
        <v>-65000</v>
      </c>
      <c r="AK272" s="97">
        <v>1</v>
      </c>
      <c r="AL272" s="97">
        <f t="shared" si="82"/>
        <v>763</v>
      </c>
      <c r="AM272" s="97">
        <f t="shared" si="83"/>
        <v>-49595000</v>
      </c>
      <c r="AN272" s="97"/>
    </row>
    <row r="273" spans="7:40">
      <c r="G273" s="210" t="s">
        <v>5808</v>
      </c>
      <c r="H273" s="111">
        <v>11538335.631417999</v>
      </c>
      <c r="Q273" s="97" t="s">
        <v>4675</v>
      </c>
      <c r="R273" s="93">
        <v>41248054</v>
      </c>
      <c r="S273" t="s">
        <v>25</v>
      </c>
      <c r="T273" s="210" t="s">
        <v>5019</v>
      </c>
      <c r="U273" s="210">
        <v>8476</v>
      </c>
      <c r="V273" s="111">
        <v>419.49900000000002</v>
      </c>
      <c r="W273" s="111">
        <f t="shared" si="71"/>
        <v>3555673.5240000002</v>
      </c>
      <c r="X273" s="36" t="s">
        <v>5059</v>
      </c>
      <c r="AH273" s="97">
        <v>7</v>
      </c>
      <c r="AI273" s="97" t="s">
        <v>4289</v>
      </c>
      <c r="AJ273" s="115">
        <v>-95000</v>
      </c>
      <c r="AK273" s="97">
        <v>6</v>
      </c>
      <c r="AL273" s="97">
        <f t="shared" si="82"/>
        <v>762</v>
      </c>
      <c r="AM273" s="97">
        <f t="shared" si="83"/>
        <v>-72390000</v>
      </c>
      <c r="AN273" s="97"/>
    </row>
    <row r="274" spans="7:40">
      <c r="G274" s="210" t="s">
        <v>5810</v>
      </c>
      <c r="H274" s="111">
        <v>12429517.767776001</v>
      </c>
      <c r="Q274" s="97" t="s">
        <v>4682</v>
      </c>
      <c r="R274" s="93">
        <v>37328780</v>
      </c>
      <c r="T274" s="210" t="s">
        <v>5071</v>
      </c>
      <c r="U274" s="210">
        <v>903</v>
      </c>
      <c r="V274" s="111">
        <v>442.77379999999999</v>
      </c>
      <c r="W274" s="111">
        <f t="shared" si="71"/>
        <v>399824.7414</v>
      </c>
      <c r="X274" s="36" t="s">
        <v>744</v>
      </c>
      <c r="AH274" s="97">
        <v>8</v>
      </c>
      <c r="AI274" s="97" t="s">
        <v>4290</v>
      </c>
      <c r="AJ274" s="115">
        <v>232000</v>
      </c>
      <c r="AK274" s="97">
        <v>7</v>
      </c>
      <c r="AL274" s="97">
        <f t="shared" si="82"/>
        <v>756</v>
      </c>
      <c r="AM274" s="97">
        <f t="shared" si="83"/>
        <v>175392000</v>
      </c>
      <c r="AN274" s="97"/>
    </row>
    <row r="275" spans="7:40">
      <c r="G275" s="210" t="s">
        <v>5826</v>
      </c>
      <c r="H275" s="111">
        <v>5031176.5087869996</v>
      </c>
      <c r="Q275" s="97" t="s">
        <v>4763</v>
      </c>
      <c r="R275" s="93">
        <v>-2194100</v>
      </c>
      <c r="T275" s="210" t="s">
        <v>5074</v>
      </c>
      <c r="U275" s="210">
        <v>113</v>
      </c>
      <c r="V275" s="111">
        <v>442.48200000000003</v>
      </c>
      <c r="W275" s="111">
        <f t="shared" ref="W275:W364" si="84">U275*V275</f>
        <v>50000.466</v>
      </c>
      <c r="X275" s="36" t="s">
        <v>744</v>
      </c>
      <c r="AH275" s="97">
        <v>9</v>
      </c>
      <c r="AI275" s="97" t="s">
        <v>4268</v>
      </c>
      <c r="AJ275" s="115">
        <v>13000000</v>
      </c>
      <c r="AK275" s="97">
        <v>2</v>
      </c>
      <c r="AL275" s="97">
        <f t="shared" si="82"/>
        <v>749</v>
      </c>
      <c r="AM275" s="97">
        <f t="shared" si="83"/>
        <v>9737000000</v>
      </c>
      <c r="AN275" s="97"/>
    </row>
    <row r="276" spans="7:40">
      <c r="G276" s="210" t="s">
        <v>5831</v>
      </c>
      <c r="H276" s="111">
        <v>6822803.9080700008</v>
      </c>
      <c r="O276" t="s">
        <v>25</v>
      </c>
      <c r="Q276" s="97" t="s">
        <v>4800</v>
      </c>
      <c r="R276" s="93">
        <v>20193916</v>
      </c>
      <c r="T276" s="210" t="s">
        <v>5084</v>
      </c>
      <c r="U276" s="210">
        <v>671</v>
      </c>
      <c r="V276" s="111">
        <v>447</v>
      </c>
      <c r="W276" s="111">
        <f t="shared" si="84"/>
        <v>299937</v>
      </c>
      <c r="X276" s="36" t="s">
        <v>744</v>
      </c>
      <c r="AH276" s="97">
        <v>10</v>
      </c>
      <c r="AI276" s="97" t="s">
        <v>4291</v>
      </c>
      <c r="AJ276" s="115">
        <v>10000000</v>
      </c>
      <c r="AK276" s="97">
        <v>3</v>
      </c>
      <c r="AL276" s="97">
        <f t="shared" si="82"/>
        <v>747</v>
      </c>
      <c r="AM276" s="97">
        <f t="shared" si="83"/>
        <v>7470000000</v>
      </c>
      <c r="AN276" s="97"/>
    </row>
    <row r="277" spans="7:40">
      <c r="G277" s="210" t="s">
        <v>5836</v>
      </c>
      <c r="H277" s="111">
        <v>330889.73324399994</v>
      </c>
      <c r="Q277" s="97" t="s">
        <v>4871</v>
      </c>
      <c r="R277" s="93">
        <v>-2000000</v>
      </c>
      <c r="T277" s="210" t="s">
        <v>5086</v>
      </c>
      <c r="U277" s="210">
        <v>7</v>
      </c>
      <c r="V277" s="111">
        <v>465.31200000000001</v>
      </c>
      <c r="W277" s="111">
        <f t="shared" si="84"/>
        <v>3257.1840000000002</v>
      </c>
      <c r="X277" s="36" t="s">
        <v>452</v>
      </c>
      <c r="AH277" s="97">
        <v>11</v>
      </c>
      <c r="AI277" s="97" t="s">
        <v>4280</v>
      </c>
      <c r="AJ277" s="115">
        <v>3400000</v>
      </c>
      <c r="AK277" s="97">
        <v>9</v>
      </c>
      <c r="AL277" s="97">
        <f t="shared" si="82"/>
        <v>744</v>
      </c>
      <c r="AM277" s="97">
        <f t="shared" si="83"/>
        <v>2529600000</v>
      </c>
      <c r="AN277" s="97"/>
    </row>
    <row r="278" spans="7:40">
      <c r="G278" s="210"/>
      <c r="H278" s="111"/>
      <c r="K278" t="s">
        <v>25</v>
      </c>
      <c r="Q278" s="97" t="s">
        <v>4935</v>
      </c>
      <c r="R278" s="93">
        <v>6800000</v>
      </c>
      <c r="S278" t="s">
        <v>25</v>
      </c>
      <c r="T278" s="210" t="s">
        <v>5092</v>
      </c>
      <c r="U278" s="210">
        <v>12950</v>
      </c>
      <c r="V278" s="111">
        <v>463.31599999999997</v>
      </c>
      <c r="W278" s="111">
        <f t="shared" si="84"/>
        <v>5999942.1999999993</v>
      </c>
      <c r="X278" s="36" t="s">
        <v>452</v>
      </c>
      <c r="AH278" s="97">
        <v>12</v>
      </c>
      <c r="AI278" s="97" t="s">
        <v>4317</v>
      </c>
      <c r="AJ278" s="115">
        <v>-8736514</v>
      </c>
      <c r="AK278" s="97">
        <v>1</v>
      </c>
      <c r="AL278" s="97">
        <f>AK278+AL279</f>
        <v>735</v>
      </c>
      <c r="AM278" s="97">
        <f t="shared" si="83"/>
        <v>-6421337790</v>
      </c>
      <c r="AN278" s="97"/>
    </row>
    <row r="279" spans="7:40">
      <c r="G279" s="210"/>
      <c r="H279" s="111"/>
      <c r="Q279" s="97" t="s">
        <v>4944</v>
      </c>
      <c r="R279" s="93">
        <v>850000</v>
      </c>
      <c r="T279" s="210" t="s">
        <v>5094</v>
      </c>
      <c r="U279" s="210">
        <v>37</v>
      </c>
      <c r="V279" s="111">
        <v>463.315</v>
      </c>
      <c r="W279" s="111">
        <f t="shared" si="84"/>
        <v>17142.654999999999</v>
      </c>
      <c r="X279" s="36" t="s">
        <v>452</v>
      </c>
      <c r="AH279" s="97">
        <v>13</v>
      </c>
      <c r="AI279" s="97" t="s">
        <v>4318</v>
      </c>
      <c r="AJ279" s="115">
        <v>555000</v>
      </c>
      <c r="AK279" s="97">
        <v>5</v>
      </c>
      <c r="AL279" s="97">
        <f t="shared" ref="AL279:AL295" si="85">AK279+AL280</f>
        <v>734</v>
      </c>
      <c r="AM279" s="97">
        <f t="shared" si="83"/>
        <v>407370000</v>
      </c>
      <c r="AN279" s="97"/>
    </row>
    <row r="280" spans="7:40">
      <c r="G280" s="210"/>
      <c r="H280" s="111"/>
      <c r="J280" t="s">
        <v>25</v>
      </c>
      <c r="Q280" s="97" t="s">
        <v>4953</v>
      </c>
      <c r="R280" s="93">
        <v>2290500</v>
      </c>
      <c r="T280" s="210" t="s">
        <v>5095</v>
      </c>
      <c r="U280" s="210">
        <v>19</v>
      </c>
      <c r="V280" s="111">
        <v>434.3</v>
      </c>
      <c r="W280" s="111">
        <f t="shared" si="84"/>
        <v>8251.7000000000007</v>
      </c>
      <c r="X280" s="36" t="s">
        <v>452</v>
      </c>
      <c r="Y280" t="s">
        <v>25</v>
      </c>
      <c r="AH280" s="97">
        <v>14</v>
      </c>
      <c r="AI280" s="97" t="s">
        <v>4342</v>
      </c>
      <c r="AJ280" s="115">
        <v>-448308</v>
      </c>
      <c r="AK280" s="97">
        <v>6</v>
      </c>
      <c r="AL280" s="97">
        <f t="shared" si="85"/>
        <v>729</v>
      </c>
      <c r="AM280" s="97">
        <f t="shared" si="83"/>
        <v>-326816532</v>
      </c>
      <c r="AN280" s="97"/>
    </row>
    <row r="281" spans="7:40">
      <c r="G281" s="210"/>
      <c r="H281" s="111"/>
      <c r="Q281" s="97" t="s">
        <v>4961</v>
      </c>
      <c r="R281" s="93">
        <v>400000</v>
      </c>
      <c r="S281" t="s">
        <v>25</v>
      </c>
      <c r="T281" s="210" t="s">
        <v>5097</v>
      </c>
      <c r="U281" s="210">
        <v>16</v>
      </c>
      <c r="V281" s="111">
        <v>439</v>
      </c>
      <c r="W281" s="111">
        <f t="shared" si="84"/>
        <v>7024</v>
      </c>
      <c r="X281" s="36" t="s">
        <v>452</v>
      </c>
      <c r="Y281" t="s">
        <v>25</v>
      </c>
      <c r="AH281" s="97">
        <v>15</v>
      </c>
      <c r="AI281" s="97" t="s">
        <v>4369</v>
      </c>
      <c r="AJ281" s="115">
        <v>33225</v>
      </c>
      <c r="AK281" s="97">
        <v>0</v>
      </c>
      <c r="AL281" s="97">
        <f t="shared" si="85"/>
        <v>723</v>
      </c>
      <c r="AM281" s="97">
        <f t="shared" si="83"/>
        <v>24021675</v>
      </c>
      <c r="AN281" s="97"/>
    </row>
    <row r="282" spans="7:40" ht="45">
      <c r="G282" s="210"/>
      <c r="H282" s="111"/>
      <c r="Q282" s="97" t="s">
        <v>4968</v>
      </c>
      <c r="R282" s="93">
        <v>150000</v>
      </c>
      <c r="T282" s="210" t="s">
        <v>5097</v>
      </c>
      <c r="U282" s="210">
        <v>9191</v>
      </c>
      <c r="V282" s="111">
        <v>440.24630000000002</v>
      </c>
      <c r="W282" s="111">
        <f t="shared" si="84"/>
        <v>4046303.7433000002</v>
      </c>
      <c r="X282" s="36" t="s">
        <v>5098</v>
      </c>
      <c r="AH282" s="147">
        <v>16</v>
      </c>
      <c r="AI282" s="147" t="s">
        <v>4369</v>
      </c>
      <c r="AJ282" s="186">
        <v>4098523</v>
      </c>
      <c r="AK282" s="147">
        <v>2</v>
      </c>
      <c r="AL282" s="147">
        <f t="shared" si="85"/>
        <v>723</v>
      </c>
      <c r="AM282" s="147">
        <f t="shared" si="83"/>
        <v>2963232129</v>
      </c>
      <c r="AN282" s="147" t="s">
        <v>650</v>
      </c>
    </row>
    <row r="283" spans="7:40">
      <c r="G283" s="210"/>
      <c r="H283" s="111"/>
      <c r="Q283" s="97" t="s">
        <v>4996</v>
      </c>
      <c r="R283" s="93">
        <v>-144950</v>
      </c>
      <c r="T283" s="210" t="s">
        <v>5100</v>
      </c>
      <c r="U283" s="210">
        <v>-8792</v>
      </c>
      <c r="V283" s="111">
        <v>441.90665999999999</v>
      </c>
      <c r="W283" s="111">
        <f t="shared" si="84"/>
        <v>-3885243.3547199997</v>
      </c>
      <c r="X283" s="36" t="s">
        <v>5101</v>
      </c>
      <c r="AH283" s="147">
        <v>17</v>
      </c>
      <c r="AI283" s="147" t="s">
        <v>4380</v>
      </c>
      <c r="AJ283" s="186">
        <v>-1000000</v>
      </c>
      <c r="AK283" s="147">
        <v>7</v>
      </c>
      <c r="AL283" s="147">
        <f t="shared" si="85"/>
        <v>721</v>
      </c>
      <c r="AM283" s="147">
        <f t="shared" si="83"/>
        <v>-721000000</v>
      </c>
      <c r="AN283" s="147" t="s">
        <v>650</v>
      </c>
    </row>
    <row r="284" spans="7:40">
      <c r="G284" s="210"/>
      <c r="H284" s="111"/>
      <c r="O284" t="s">
        <v>25</v>
      </c>
      <c r="Q284" s="97" t="s">
        <v>5022</v>
      </c>
      <c r="R284" s="93">
        <v>320000</v>
      </c>
      <c r="T284" s="187" t="s">
        <v>5104</v>
      </c>
      <c r="U284" s="187">
        <v>24374</v>
      </c>
      <c r="V284" s="186">
        <v>471.81700000000001</v>
      </c>
      <c r="W284" s="186">
        <f t="shared" si="84"/>
        <v>11500067.558</v>
      </c>
      <c r="X284" s="275" t="s">
        <v>5107</v>
      </c>
      <c r="AH284" s="147">
        <v>18</v>
      </c>
      <c r="AI284" s="147" t="s">
        <v>4400</v>
      </c>
      <c r="AJ284" s="186">
        <v>750000</v>
      </c>
      <c r="AK284" s="147">
        <v>1</v>
      </c>
      <c r="AL284" s="147">
        <f t="shared" si="85"/>
        <v>714</v>
      </c>
      <c r="AM284" s="147">
        <f t="shared" si="83"/>
        <v>535500000</v>
      </c>
      <c r="AN284" s="147" t="s">
        <v>650</v>
      </c>
    </row>
    <row r="285" spans="7:40">
      <c r="G285" s="210"/>
      <c r="H285" s="111"/>
      <c r="Q285" s="97" t="s">
        <v>5026</v>
      </c>
      <c r="R285" s="93">
        <v>500000</v>
      </c>
      <c r="S285" t="s">
        <v>25</v>
      </c>
      <c r="T285" s="210" t="s">
        <v>5109</v>
      </c>
      <c r="U285" s="210">
        <v>530</v>
      </c>
      <c r="V285" s="111">
        <v>472</v>
      </c>
      <c r="W285" s="111">
        <f t="shared" si="84"/>
        <v>250160</v>
      </c>
      <c r="X285" s="36" t="s">
        <v>744</v>
      </c>
      <c r="AH285" s="193">
        <v>19</v>
      </c>
      <c r="AI285" s="193" t="s">
        <v>4401</v>
      </c>
      <c r="AJ285" s="194">
        <v>-604152</v>
      </c>
      <c r="AK285" s="193">
        <v>0</v>
      </c>
      <c r="AL285" s="193">
        <f t="shared" si="85"/>
        <v>713</v>
      </c>
      <c r="AM285" s="193">
        <f t="shared" si="83"/>
        <v>-430760376</v>
      </c>
      <c r="AN285" s="193" t="s">
        <v>650</v>
      </c>
    </row>
    <row r="286" spans="7:40" ht="30">
      <c r="G286" s="210"/>
      <c r="H286" s="111"/>
      <c r="Q286" s="97" t="s">
        <v>5071</v>
      </c>
      <c r="R286" s="93">
        <v>400000</v>
      </c>
      <c r="S286" t="s">
        <v>25</v>
      </c>
      <c r="T286" s="210" t="s">
        <v>5109</v>
      </c>
      <c r="U286" s="210">
        <v>12</v>
      </c>
      <c r="V286" s="111">
        <v>481.86</v>
      </c>
      <c r="W286" s="111">
        <f t="shared" si="84"/>
        <v>5782.32</v>
      </c>
      <c r="X286" s="36" t="s">
        <v>5111</v>
      </c>
      <c r="AH286" s="97">
        <v>20</v>
      </c>
      <c r="AI286" s="97" t="s">
        <v>4402</v>
      </c>
      <c r="AJ286" s="115">
        <v>-587083</v>
      </c>
      <c r="AK286" s="97">
        <v>4</v>
      </c>
      <c r="AL286" s="97">
        <f t="shared" si="85"/>
        <v>713</v>
      </c>
      <c r="AM286" s="97">
        <f t="shared" si="83"/>
        <v>-418590179</v>
      </c>
      <c r="AN286" s="97"/>
    </row>
    <row r="287" spans="7:40">
      <c r="G287" s="210"/>
      <c r="H287" s="111"/>
      <c r="J287" t="s">
        <v>25</v>
      </c>
      <c r="Q287" s="97" t="s">
        <v>5074</v>
      </c>
      <c r="R287" s="93">
        <v>50000</v>
      </c>
      <c r="S287" t="s">
        <v>25</v>
      </c>
      <c r="T287" s="187" t="s">
        <v>5134</v>
      </c>
      <c r="U287" s="187">
        <v>12330</v>
      </c>
      <c r="V287" s="186">
        <v>486.63443869999998</v>
      </c>
      <c r="W287" s="186">
        <f t="shared" si="84"/>
        <v>6000202.6291709999</v>
      </c>
      <c r="X287" s="275" t="s">
        <v>5107</v>
      </c>
      <c r="AH287" s="193">
        <v>21</v>
      </c>
      <c r="AI287" s="193" t="s">
        <v>4403</v>
      </c>
      <c r="AJ287" s="194">
        <v>-754351</v>
      </c>
      <c r="AK287" s="193">
        <v>0</v>
      </c>
      <c r="AL287" s="147">
        <f t="shared" si="85"/>
        <v>709</v>
      </c>
      <c r="AM287" s="193">
        <f t="shared" si="83"/>
        <v>-534834859</v>
      </c>
      <c r="AN287" s="193" t="s">
        <v>650</v>
      </c>
    </row>
    <row r="288" spans="7:40">
      <c r="G288" s="210" t="s">
        <v>5565</v>
      </c>
      <c r="H288" s="111">
        <v>-87000000</v>
      </c>
      <c r="Q288" s="97" t="s">
        <v>5084</v>
      </c>
      <c r="R288" s="93">
        <v>300000</v>
      </c>
      <c r="T288" s="210" t="s">
        <v>5136</v>
      </c>
      <c r="U288" s="210">
        <v>846</v>
      </c>
      <c r="V288" s="111">
        <v>472.7</v>
      </c>
      <c r="W288" s="111">
        <f t="shared" si="84"/>
        <v>399904.2</v>
      </c>
      <c r="X288" s="36" t="s">
        <v>452</v>
      </c>
      <c r="AH288" s="97">
        <v>22</v>
      </c>
      <c r="AI288" s="97" t="s">
        <v>4403</v>
      </c>
      <c r="AJ288" s="115">
        <v>-189619</v>
      </c>
      <c r="AK288" s="97">
        <v>15</v>
      </c>
      <c r="AL288" s="97">
        <f t="shared" si="85"/>
        <v>709</v>
      </c>
      <c r="AM288" s="97">
        <f t="shared" si="83"/>
        <v>-134439871</v>
      </c>
      <c r="AN288" s="97"/>
    </row>
    <row r="289" spans="7:44">
      <c r="G289" s="210"/>
      <c r="H289" s="111"/>
      <c r="Q289" s="97" t="s">
        <v>5109</v>
      </c>
      <c r="R289" s="93">
        <v>250000</v>
      </c>
      <c r="T289" s="187" t="s">
        <v>5136</v>
      </c>
      <c r="U289" s="187">
        <v>3173</v>
      </c>
      <c r="V289" s="186">
        <v>472.7</v>
      </c>
      <c r="W289" s="186">
        <f t="shared" si="84"/>
        <v>1499877.0999999999</v>
      </c>
      <c r="X289" s="275" t="s">
        <v>5265</v>
      </c>
      <c r="AH289" s="193">
        <v>23</v>
      </c>
      <c r="AI289" s="193" t="s">
        <v>4467</v>
      </c>
      <c r="AJ289" s="186">
        <v>7100</v>
      </c>
      <c r="AK289" s="193">
        <v>0</v>
      </c>
      <c r="AL289" s="147">
        <f t="shared" si="85"/>
        <v>694</v>
      </c>
      <c r="AM289" s="193">
        <f t="shared" si="83"/>
        <v>4927400</v>
      </c>
      <c r="AN289" s="193" t="s">
        <v>650</v>
      </c>
    </row>
    <row r="290" spans="7:44">
      <c r="G290" s="210"/>
      <c r="H290" s="1"/>
      <c r="Q290" s="97" t="s">
        <v>5144</v>
      </c>
      <c r="R290" s="93">
        <v>200000</v>
      </c>
      <c r="T290" s="210" t="s">
        <v>5140</v>
      </c>
      <c r="U290" s="210">
        <v>191</v>
      </c>
      <c r="V290" s="111">
        <v>484.572</v>
      </c>
      <c r="W290" s="111">
        <f t="shared" si="84"/>
        <v>92553.252000000008</v>
      </c>
      <c r="X290" s="36" t="s">
        <v>5141</v>
      </c>
      <c r="AH290" s="20">
        <v>24</v>
      </c>
      <c r="AI290" s="20" t="s">
        <v>4467</v>
      </c>
      <c r="AJ290" s="115">
        <v>-147902</v>
      </c>
      <c r="AK290" s="20">
        <v>3</v>
      </c>
      <c r="AL290" s="97">
        <f t="shared" si="85"/>
        <v>694</v>
      </c>
      <c r="AM290" s="20">
        <f t="shared" si="83"/>
        <v>-102643988</v>
      </c>
      <c r="AN290" s="20"/>
    </row>
    <row r="291" spans="7:44">
      <c r="G291" s="210"/>
      <c r="H291" s="1"/>
      <c r="Q291" s="97" t="s">
        <v>5177</v>
      </c>
      <c r="R291" s="93">
        <v>122000</v>
      </c>
      <c r="T291" s="210" t="s">
        <v>5140</v>
      </c>
      <c r="U291" s="210">
        <v>-206</v>
      </c>
      <c r="V291" s="111">
        <v>484.572</v>
      </c>
      <c r="W291" s="111">
        <f t="shared" si="84"/>
        <v>-99821.831999999995</v>
      </c>
      <c r="X291" s="36" t="s">
        <v>5143</v>
      </c>
      <c r="AH291" s="147">
        <v>25</v>
      </c>
      <c r="AI291" s="147" t="s">
        <v>4475</v>
      </c>
      <c r="AJ291" s="186">
        <v>-37200</v>
      </c>
      <c r="AK291" s="147">
        <v>4</v>
      </c>
      <c r="AL291" s="147">
        <f t="shared" si="85"/>
        <v>691</v>
      </c>
      <c r="AM291" s="193">
        <f t="shared" si="83"/>
        <v>-25705200</v>
      </c>
      <c r="AN291" s="147" t="s">
        <v>650</v>
      </c>
    </row>
    <row r="292" spans="7:44">
      <c r="G292" s="210"/>
      <c r="H292" s="1"/>
      <c r="O292" t="s">
        <v>25</v>
      </c>
      <c r="Q292" s="97" t="s">
        <v>5185</v>
      </c>
      <c r="R292" s="93">
        <v>200000</v>
      </c>
      <c r="S292" t="s">
        <v>25</v>
      </c>
      <c r="T292" s="210" t="s">
        <v>5144</v>
      </c>
      <c r="U292" s="210">
        <v>20685</v>
      </c>
      <c r="V292" s="111">
        <v>483.43312200000003</v>
      </c>
      <c r="W292" s="111">
        <f t="shared" si="84"/>
        <v>9999814.1285699997</v>
      </c>
      <c r="X292" s="36" t="s">
        <v>5146</v>
      </c>
      <c r="AH292" s="97">
        <v>26</v>
      </c>
      <c r="AI292" s="97" t="s">
        <v>4505</v>
      </c>
      <c r="AJ292" s="115">
        <v>-372326</v>
      </c>
      <c r="AK292" s="97">
        <v>21</v>
      </c>
      <c r="AL292" s="97">
        <f t="shared" si="85"/>
        <v>687</v>
      </c>
      <c r="AM292" s="20">
        <f t="shared" si="83"/>
        <v>-255787962</v>
      </c>
      <c r="AN292" s="97"/>
    </row>
    <row r="293" spans="7:44">
      <c r="G293" s="210" t="s">
        <v>6</v>
      </c>
      <c r="H293" s="1">
        <f>SUM(H202:H292)</f>
        <v>1230311852.241941</v>
      </c>
      <c r="Q293" s="97" t="s">
        <v>5195</v>
      </c>
      <c r="R293" s="93">
        <v>60000</v>
      </c>
      <c r="T293" s="210" t="s">
        <v>5144</v>
      </c>
      <c r="U293" s="210">
        <v>-413</v>
      </c>
      <c r="V293" s="111">
        <v>483.40199999999999</v>
      </c>
      <c r="W293" s="111">
        <f t="shared" si="84"/>
        <v>-199645.02599999998</v>
      </c>
      <c r="X293" s="36" t="s">
        <v>4410</v>
      </c>
      <c r="AH293" s="97">
        <v>27</v>
      </c>
      <c r="AI293" s="97" t="s">
        <v>4552</v>
      </c>
      <c r="AJ293" s="115">
        <v>235062</v>
      </c>
      <c r="AK293" s="97">
        <v>0</v>
      </c>
      <c r="AL293" s="97">
        <f t="shared" si="85"/>
        <v>666</v>
      </c>
      <c r="AM293" s="20">
        <f t="shared" si="83"/>
        <v>156551292</v>
      </c>
      <c r="AN293" s="97"/>
    </row>
    <row r="294" spans="7:44">
      <c r="G294" s="320"/>
      <c r="H294" s="1"/>
      <c r="P294" t="s">
        <v>25</v>
      </c>
      <c r="Q294" s="97" t="s">
        <v>5255</v>
      </c>
      <c r="R294" s="93">
        <v>-200000</v>
      </c>
      <c r="S294" t="s">
        <v>25</v>
      </c>
      <c r="T294" s="210" t="s">
        <v>5144</v>
      </c>
      <c r="U294" s="210">
        <v>413</v>
      </c>
      <c r="V294" s="111">
        <v>483.40199999999999</v>
      </c>
      <c r="W294" s="111">
        <f t="shared" si="84"/>
        <v>199645.02599999998</v>
      </c>
      <c r="X294" s="36" t="s">
        <v>744</v>
      </c>
      <c r="AH294" s="147">
        <v>28</v>
      </c>
      <c r="AI294" s="147" t="s">
        <v>4552</v>
      </c>
      <c r="AJ294" s="186">
        <v>235062</v>
      </c>
      <c r="AK294" s="147">
        <v>9</v>
      </c>
      <c r="AL294" s="97">
        <f t="shared" si="85"/>
        <v>666</v>
      </c>
      <c r="AM294" s="147">
        <f t="shared" si="83"/>
        <v>156551292</v>
      </c>
      <c r="AN294" s="147" t="s">
        <v>650</v>
      </c>
    </row>
    <row r="295" spans="7:44">
      <c r="Q295" s="97" t="s">
        <v>5328</v>
      </c>
      <c r="R295" s="93">
        <v>-9000000</v>
      </c>
      <c r="T295" s="210" t="s">
        <v>5149</v>
      </c>
      <c r="U295" s="210">
        <v>-828</v>
      </c>
      <c r="V295" s="111">
        <v>483.43312200000003</v>
      </c>
      <c r="W295" s="111">
        <f t="shared" si="84"/>
        <v>-400282.62501600001</v>
      </c>
      <c r="X295" s="36" t="s">
        <v>452</v>
      </c>
      <c r="AH295" s="147">
        <v>29</v>
      </c>
      <c r="AI295" s="147" t="s">
        <v>4571</v>
      </c>
      <c r="AJ295" s="186">
        <v>450000</v>
      </c>
      <c r="AK295" s="147">
        <v>0</v>
      </c>
      <c r="AL295" s="97">
        <f t="shared" si="85"/>
        <v>657</v>
      </c>
      <c r="AM295" s="147">
        <f t="shared" si="83"/>
        <v>295650000</v>
      </c>
      <c r="AN295" s="147" t="s">
        <v>650</v>
      </c>
    </row>
    <row r="296" spans="7:44">
      <c r="Q296" s="97" t="s">
        <v>5392</v>
      </c>
      <c r="R296" s="93">
        <v>-26000000</v>
      </c>
      <c r="T296" s="210" t="s">
        <v>5152</v>
      </c>
      <c r="U296" s="210">
        <v>12</v>
      </c>
      <c r="V296" s="111">
        <v>473.61898300000001</v>
      </c>
      <c r="W296" s="111">
        <f t="shared" si="84"/>
        <v>5683.4277959999999</v>
      </c>
      <c r="X296" s="36" t="s">
        <v>452</v>
      </c>
      <c r="Y296" t="s">
        <v>25</v>
      </c>
      <c r="AH296" s="20">
        <v>30</v>
      </c>
      <c r="AI296" s="20" t="s">
        <v>4571</v>
      </c>
      <c r="AJ296" s="115">
        <v>450000</v>
      </c>
      <c r="AK296" s="20">
        <v>22</v>
      </c>
      <c r="AL296" s="97">
        <f>AK296+AL297</f>
        <v>657</v>
      </c>
      <c r="AM296" s="20">
        <f t="shared" si="83"/>
        <v>295650000</v>
      </c>
      <c r="AN296" s="20"/>
    </row>
    <row r="297" spans="7:44">
      <c r="G297" s="94"/>
      <c r="H297" s="9" t="s">
        <v>452</v>
      </c>
      <c r="Q297" s="97" t="s">
        <v>5397</v>
      </c>
      <c r="R297" s="93">
        <v>-95900000</v>
      </c>
      <c r="T297" s="210" t="s">
        <v>5155</v>
      </c>
      <c r="U297" s="210">
        <v>963</v>
      </c>
      <c r="V297" s="111">
        <v>477.92200000000003</v>
      </c>
      <c r="W297" s="111">
        <f t="shared" si="84"/>
        <v>460238.886</v>
      </c>
      <c r="X297" s="36" t="s">
        <v>452</v>
      </c>
      <c r="AH297" s="147">
        <v>31</v>
      </c>
      <c r="AI297" s="147" t="s">
        <v>4637</v>
      </c>
      <c r="AJ297" s="186">
        <v>300000</v>
      </c>
      <c r="AK297" s="147">
        <v>0</v>
      </c>
      <c r="AL297" s="147">
        <f t="shared" ref="AL297:AL312" si="86">AK297+AL298</f>
        <v>635</v>
      </c>
      <c r="AM297" s="147">
        <f t="shared" ref="AM297:AM306" si="87">AJ297*AL297</f>
        <v>190500000</v>
      </c>
      <c r="AN297" s="147"/>
    </row>
    <row r="298" spans="7:44" ht="30">
      <c r="G298" s="94"/>
      <c r="H298" s="9" t="s">
        <v>744</v>
      </c>
      <c r="Q298" s="97" t="s">
        <v>5398</v>
      </c>
      <c r="R298" s="93">
        <v>-28950000</v>
      </c>
      <c r="S298" t="s">
        <v>25</v>
      </c>
      <c r="T298" s="210" t="s">
        <v>5156</v>
      </c>
      <c r="U298" s="210">
        <v>2815</v>
      </c>
      <c r="V298" s="111">
        <v>461.79</v>
      </c>
      <c r="W298" s="111">
        <f t="shared" si="84"/>
        <v>1299938.8500000001</v>
      </c>
      <c r="X298" s="36" t="s">
        <v>452</v>
      </c>
      <c r="AH298" s="119">
        <v>32</v>
      </c>
      <c r="AI298" s="119" t="s">
        <v>4637</v>
      </c>
      <c r="AJ298" s="77">
        <v>288936</v>
      </c>
      <c r="AK298" s="119">
        <v>3</v>
      </c>
      <c r="AL298" s="119">
        <f t="shared" si="86"/>
        <v>635</v>
      </c>
      <c r="AM298" s="119">
        <f t="shared" si="87"/>
        <v>183474360</v>
      </c>
      <c r="AN298" s="202" t="s">
        <v>4648</v>
      </c>
    </row>
    <row r="299" spans="7:44">
      <c r="G299" s="94"/>
      <c r="H299" s="9" t="s">
        <v>5484</v>
      </c>
      <c r="Q299" s="97" t="s">
        <v>5573</v>
      </c>
      <c r="R299" s="93">
        <v>-93000000</v>
      </c>
      <c r="S299" t="s">
        <v>25</v>
      </c>
      <c r="T299" s="210" t="s">
        <v>5156</v>
      </c>
      <c r="U299" s="210">
        <v>1581</v>
      </c>
      <c r="V299" s="111">
        <v>461.79</v>
      </c>
      <c r="W299" s="111">
        <f t="shared" si="84"/>
        <v>730089.99</v>
      </c>
      <c r="X299" s="36" t="s">
        <v>452</v>
      </c>
      <c r="AH299" s="119">
        <v>33</v>
      </c>
      <c r="AI299" s="119" t="s">
        <v>4646</v>
      </c>
      <c r="AJ299" s="77">
        <v>17962491</v>
      </c>
      <c r="AK299" s="119">
        <v>1</v>
      </c>
      <c r="AL299" s="119">
        <f t="shared" si="86"/>
        <v>632</v>
      </c>
      <c r="AM299" s="119">
        <f t="shared" si="87"/>
        <v>11352294312</v>
      </c>
      <c r="AN299" s="119" t="s">
        <v>4653</v>
      </c>
    </row>
    <row r="300" spans="7:44">
      <c r="G300" s="94"/>
      <c r="H300" s="9" t="s">
        <v>1071</v>
      </c>
      <c r="Q300" s="97" t="s">
        <v>5585</v>
      </c>
      <c r="R300" s="93">
        <v>50000000</v>
      </c>
      <c r="T300" s="187" t="s">
        <v>5163</v>
      </c>
      <c r="U300" s="187">
        <v>1916</v>
      </c>
      <c r="V300" s="186">
        <v>521.70000000000005</v>
      </c>
      <c r="W300" s="186">
        <f t="shared" si="84"/>
        <v>999577.20000000007</v>
      </c>
      <c r="X300" s="275" t="s">
        <v>5265</v>
      </c>
      <c r="AH300" s="119">
        <v>34</v>
      </c>
      <c r="AI300" s="119" t="s">
        <v>3668</v>
      </c>
      <c r="AJ300" s="77">
        <v>18363511</v>
      </c>
      <c r="AK300" s="119">
        <v>1</v>
      </c>
      <c r="AL300" s="119">
        <f t="shared" si="86"/>
        <v>631</v>
      </c>
      <c r="AM300" s="119">
        <f t="shared" si="87"/>
        <v>11587375441</v>
      </c>
      <c r="AN300" s="119" t="s">
        <v>4653</v>
      </c>
      <c r="AR300" t="s">
        <v>25</v>
      </c>
    </row>
    <row r="301" spans="7:44">
      <c r="H301" s="9" t="s">
        <v>5409</v>
      </c>
      <c r="Q301" s="97" t="s">
        <v>4213</v>
      </c>
      <c r="R301" s="93">
        <v>2749471.1668000002</v>
      </c>
      <c r="T301" s="210" t="s">
        <v>977</v>
      </c>
      <c r="U301" s="210">
        <v>41</v>
      </c>
      <c r="V301" s="111">
        <v>514.48099999999999</v>
      </c>
      <c r="W301" s="111">
        <f t="shared" si="84"/>
        <v>21093.721000000001</v>
      </c>
      <c r="X301" s="36" t="s">
        <v>5141</v>
      </c>
      <c r="AH301" s="119">
        <v>35</v>
      </c>
      <c r="AI301" s="119" t="s">
        <v>4658</v>
      </c>
      <c r="AJ301" s="77">
        <v>23622417</v>
      </c>
      <c r="AK301" s="119">
        <v>5</v>
      </c>
      <c r="AL301" s="119">
        <f t="shared" si="86"/>
        <v>630</v>
      </c>
      <c r="AM301" s="119">
        <f t="shared" si="87"/>
        <v>14882122710</v>
      </c>
      <c r="AN301" s="119" t="s">
        <v>4660</v>
      </c>
    </row>
    <row r="302" spans="7:44">
      <c r="H302" s="9" t="s">
        <v>5607</v>
      </c>
      <c r="Q302" s="97" t="s">
        <v>5685</v>
      </c>
      <c r="R302" s="93">
        <v>-680940.07019999996</v>
      </c>
      <c r="T302" s="210" t="s">
        <v>4257</v>
      </c>
      <c r="U302" s="210">
        <v>71</v>
      </c>
      <c r="V302" s="111">
        <v>482.57</v>
      </c>
      <c r="W302" s="111">
        <f t="shared" si="84"/>
        <v>34262.47</v>
      </c>
      <c r="X302" s="36" t="s">
        <v>5141</v>
      </c>
      <c r="Y302" t="s">
        <v>25</v>
      </c>
      <c r="AH302" s="119">
        <v>36</v>
      </c>
      <c r="AI302" s="119" t="s">
        <v>4673</v>
      </c>
      <c r="AJ302" s="77">
        <v>82496108</v>
      </c>
      <c r="AK302" s="119">
        <v>1</v>
      </c>
      <c r="AL302" s="119">
        <f t="shared" si="86"/>
        <v>625</v>
      </c>
      <c r="AM302" s="119">
        <f t="shared" si="87"/>
        <v>51560067500</v>
      </c>
      <c r="AN302" s="119" t="s">
        <v>4676</v>
      </c>
    </row>
    <row r="303" spans="7:44">
      <c r="H303" s="322" t="s">
        <v>5608</v>
      </c>
      <c r="Q303" s="97" t="s">
        <v>5685</v>
      </c>
      <c r="R303" s="93">
        <v>-48684800.338199995</v>
      </c>
      <c r="T303" s="210" t="s">
        <v>5177</v>
      </c>
      <c r="U303" s="210">
        <v>-250</v>
      </c>
      <c r="V303" s="111">
        <v>487.125</v>
      </c>
      <c r="W303" s="111">
        <f t="shared" si="84"/>
        <v>-121781.25</v>
      </c>
      <c r="X303" s="36" t="s">
        <v>4410</v>
      </c>
      <c r="AH303" s="119">
        <v>37</v>
      </c>
      <c r="AI303" s="119" t="s">
        <v>4675</v>
      </c>
      <c r="AJ303" s="77">
        <v>74657561</v>
      </c>
      <c r="AK303" s="119">
        <v>16</v>
      </c>
      <c r="AL303" s="119">
        <f t="shared" si="86"/>
        <v>624</v>
      </c>
      <c r="AM303" s="119">
        <f t="shared" si="87"/>
        <v>46586318064</v>
      </c>
      <c r="AN303" s="119" t="s">
        <v>4681</v>
      </c>
    </row>
    <row r="304" spans="7:44">
      <c r="H304" s="322" t="s">
        <v>744</v>
      </c>
      <c r="P304" t="s">
        <v>25</v>
      </c>
      <c r="Q304" s="97" t="s">
        <v>5709</v>
      </c>
      <c r="R304" s="93">
        <v>1500000</v>
      </c>
      <c r="S304" t="s">
        <v>25</v>
      </c>
      <c r="T304" s="210" t="s">
        <v>5177</v>
      </c>
      <c r="U304" s="210">
        <v>250</v>
      </c>
      <c r="V304" s="111">
        <v>487.125</v>
      </c>
      <c r="W304" s="111">
        <f t="shared" si="84"/>
        <v>121781.25</v>
      </c>
      <c r="X304" s="36" t="s">
        <v>744</v>
      </c>
      <c r="AH304" s="97">
        <v>38</v>
      </c>
      <c r="AI304" s="97" t="s">
        <v>4749</v>
      </c>
      <c r="AJ304" s="115">
        <v>665000</v>
      </c>
      <c r="AK304" s="97">
        <v>0</v>
      </c>
      <c r="AL304" s="97">
        <f t="shared" si="86"/>
        <v>608</v>
      </c>
      <c r="AM304" s="20">
        <f t="shared" si="87"/>
        <v>404320000</v>
      </c>
      <c r="AN304" s="97"/>
    </row>
    <row r="305" spans="8:40">
      <c r="H305" s="9" t="s">
        <v>5609</v>
      </c>
      <c r="P305" t="s">
        <v>25</v>
      </c>
      <c r="Q305" s="97"/>
      <c r="R305" s="93"/>
      <c r="T305" s="210" t="s">
        <v>5185</v>
      </c>
      <c r="U305" s="210">
        <v>-1439</v>
      </c>
      <c r="V305" s="111">
        <v>486.53068999999999</v>
      </c>
      <c r="W305" s="111">
        <f t="shared" si="84"/>
        <v>-700117.66290999996</v>
      </c>
      <c r="X305" s="36" t="s">
        <v>4410</v>
      </c>
      <c r="AH305" s="147">
        <v>39</v>
      </c>
      <c r="AI305" s="147" t="s">
        <v>4749</v>
      </c>
      <c r="AJ305" s="186">
        <v>665000</v>
      </c>
      <c r="AK305" s="147">
        <v>4</v>
      </c>
      <c r="AL305" s="193">
        <f t="shared" si="86"/>
        <v>608</v>
      </c>
      <c r="AM305" s="193">
        <f t="shared" si="87"/>
        <v>404320000</v>
      </c>
      <c r="AN305" s="193"/>
    </row>
    <row r="306" spans="8:40">
      <c r="H306" s="9" t="s">
        <v>5610</v>
      </c>
      <c r="Q306" s="97"/>
      <c r="R306" s="93"/>
      <c r="T306" s="210" t="s">
        <v>5185</v>
      </c>
      <c r="U306" s="210">
        <v>411</v>
      </c>
      <c r="V306" s="111">
        <v>486.53068999999999</v>
      </c>
      <c r="W306" s="111">
        <f t="shared" si="84"/>
        <v>199964.11358999999</v>
      </c>
      <c r="X306" s="36" t="s">
        <v>744</v>
      </c>
      <c r="AH306" s="20">
        <v>40</v>
      </c>
      <c r="AI306" s="20" t="s">
        <v>4758</v>
      </c>
      <c r="AJ306" s="115">
        <v>2000000</v>
      </c>
      <c r="AK306" s="20">
        <v>1</v>
      </c>
      <c r="AL306" s="97">
        <f t="shared" si="86"/>
        <v>604</v>
      </c>
      <c r="AM306" s="20">
        <f t="shared" si="87"/>
        <v>1208000000</v>
      </c>
      <c r="AN306" s="97"/>
    </row>
    <row r="307" spans="8:40">
      <c r="H307" s="9" t="s">
        <v>5641</v>
      </c>
      <c r="Q307" s="97"/>
      <c r="R307" s="93">
        <f>SUM(R255:R306)</f>
        <v>188817555.75839999</v>
      </c>
      <c r="S307" t="s">
        <v>25</v>
      </c>
      <c r="T307" s="210" t="s">
        <v>5154</v>
      </c>
      <c r="U307" s="210">
        <v>-4290</v>
      </c>
      <c r="V307" s="111">
        <v>497.57670000000002</v>
      </c>
      <c r="W307" s="111">
        <f t="shared" si="84"/>
        <v>-2134604.0430000001</v>
      </c>
      <c r="X307" s="36" t="s">
        <v>452</v>
      </c>
      <c r="AH307" s="20">
        <v>41</v>
      </c>
      <c r="AI307" s="20" t="s">
        <v>4763</v>
      </c>
      <c r="AJ307" s="115">
        <v>-2060725</v>
      </c>
      <c r="AK307" s="20">
        <v>0</v>
      </c>
      <c r="AL307" s="97">
        <f t="shared" si="86"/>
        <v>603</v>
      </c>
      <c r="AM307" s="20">
        <f t="shared" ref="AM307:AM312" si="88">AJ307*AL307</f>
        <v>-1242617175</v>
      </c>
      <c r="AN307" s="97" t="s">
        <v>4764</v>
      </c>
    </row>
    <row r="308" spans="8:40">
      <c r="H308" s="322"/>
      <c r="Q308" s="97"/>
      <c r="R308" s="97" t="s">
        <v>6</v>
      </c>
      <c r="S308" t="s">
        <v>25</v>
      </c>
      <c r="T308" s="210" t="s">
        <v>5192</v>
      </c>
      <c r="U308" s="210">
        <v>-644</v>
      </c>
      <c r="V308" s="111">
        <v>494.76464499999997</v>
      </c>
      <c r="W308" s="111">
        <f t="shared" si="84"/>
        <v>-318628.43137999997</v>
      </c>
      <c r="X308" s="36" t="s">
        <v>452</v>
      </c>
      <c r="AH308" s="147">
        <v>42</v>
      </c>
      <c r="AI308" s="147" t="s">
        <v>4763</v>
      </c>
      <c r="AJ308" s="186">
        <v>-433375</v>
      </c>
      <c r="AK308" s="147">
        <v>0</v>
      </c>
      <c r="AL308" s="147">
        <f t="shared" si="86"/>
        <v>603</v>
      </c>
      <c r="AM308" s="147">
        <f t="shared" si="88"/>
        <v>-261325125</v>
      </c>
      <c r="AN308" s="147" t="s">
        <v>4765</v>
      </c>
    </row>
    <row r="309" spans="8:40">
      <c r="R309" t="s">
        <v>25</v>
      </c>
      <c r="T309" s="210" t="s">
        <v>5195</v>
      </c>
      <c r="U309" s="210">
        <v>-112</v>
      </c>
      <c r="V309" s="111">
        <v>485.78</v>
      </c>
      <c r="W309" s="111">
        <f t="shared" si="84"/>
        <v>-54407.360000000001</v>
      </c>
      <c r="X309" s="36" t="s">
        <v>452</v>
      </c>
      <c r="AH309" s="20">
        <v>43</v>
      </c>
      <c r="AI309" s="20" t="s">
        <v>4763</v>
      </c>
      <c r="AJ309" s="115">
        <v>28000000</v>
      </c>
      <c r="AK309" s="20">
        <v>1</v>
      </c>
      <c r="AL309" s="97">
        <f t="shared" si="86"/>
        <v>603</v>
      </c>
      <c r="AM309" s="20">
        <f t="shared" si="88"/>
        <v>16884000000</v>
      </c>
      <c r="AN309" s="97" t="s">
        <v>3875</v>
      </c>
    </row>
    <row r="310" spans="8:40">
      <c r="T310" s="210" t="s">
        <v>5195</v>
      </c>
      <c r="U310" s="210">
        <v>123</v>
      </c>
      <c r="V310" s="111">
        <v>485.78</v>
      </c>
      <c r="W310" s="111">
        <f t="shared" si="84"/>
        <v>59750.939999999995</v>
      </c>
      <c r="X310" s="36" t="s">
        <v>744</v>
      </c>
      <c r="Z310" t="s">
        <v>25</v>
      </c>
      <c r="AH310" s="20">
        <v>44</v>
      </c>
      <c r="AI310" s="20" t="s">
        <v>4772</v>
      </c>
      <c r="AJ310" s="115">
        <v>160000</v>
      </c>
      <c r="AK310" s="20">
        <v>0</v>
      </c>
      <c r="AL310" s="97">
        <f t="shared" si="86"/>
        <v>602</v>
      </c>
      <c r="AM310" s="20">
        <f t="shared" si="88"/>
        <v>96320000</v>
      </c>
      <c r="AN310" s="97"/>
    </row>
    <row r="311" spans="8:40">
      <c r="Q311" s="97" t="s">
        <v>452</v>
      </c>
      <c r="R311" s="97"/>
      <c r="T311" s="210" t="s">
        <v>5195</v>
      </c>
      <c r="U311" s="210">
        <v>-123</v>
      </c>
      <c r="V311" s="111">
        <v>485.78</v>
      </c>
      <c r="W311" s="111">
        <f t="shared" si="84"/>
        <v>-59750.939999999995</v>
      </c>
      <c r="X311" s="36" t="s">
        <v>4410</v>
      </c>
      <c r="AH311" s="147">
        <v>45</v>
      </c>
      <c r="AI311" s="147" t="s">
        <v>4772</v>
      </c>
      <c r="AJ311" s="186">
        <v>70000</v>
      </c>
      <c r="AK311" s="147">
        <v>9</v>
      </c>
      <c r="AL311" s="147">
        <f t="shared" si="86"/>
        <v>602</v>
      </c>
      <c r="AM311" s="147">
        <f t="shared" si="88"/>
        <v>42140000</v>
      </c>
      <c r="AN311" s="147"/>
    </row>
    <row r="312" spans="8:40">
      <c r="Q312" s="97" t="s">
        <v>4403</v>
      </c>
      <c r="R312" s="93">
        <v>63115000</v>
      </c>
      <c r="T312" s="210" t="s">
        <v>5239</v>
      </c>
      <c r="U312" s="210">
        <v>32367</v>
      </c>
      <c r="V312" s="111">
        <v>556.12900000000002</v>
      </c>
      <c r="W312" s="111">
        <f t="shared" si="84"/>
        <v>18000227.343000002</v>
      </c>
      <c r="X312" s="36" t="s">
        <v>452</v>
      </c>
      <c r="AH312" s="20">
        <v>46</v>
      </c>
      <c r="AI312" s="20" t="s">
        <v>4779</v>
      </c>
      <c r="AJ312" s="115">
        <v>850000</v>
      </c>
      <c r="AK312" s="20">
        <v>0</v>
      </c>
      <c r="AL312" s="97">
        <f t="shared" si="86"/>
        <v>593</v>
      </c>
      <c r="AM312" s="20">
        <f t="shared" si="88"/>
        <v>504050000</v>
      </c>
      <c r="AN312" s="97"/>
    </row>
    <row r="313" spans="8:40">
      <c r="Q313" s="97" t="s">
        <v>4450</v>
      </c>
      <c r="R313" s="93">
        <v>13300000</v>
      </c>
      <c r="T313" s="210" t="s">
        <v>5255</v>
      </c>
      <c r="U313" s="210">
        <v>1254</v>
      </c>
      <c r="V313" s="111">
        <v>558.24400000000003</v>
      </c>
      <c r="W313" s="111">
        <f t="shared" si="84"/>
        <v>700037.97600000002</v>
      </c>
      <c r="X313" s="36" t="s">
        <v>4410</v>
      </c>
      <c r="AH313" s="193">
        <v>47</v>
      </c>
      <c r="AI313" s="193" t="s">
        <v>4779</v>
      </c>
      <c r="AJ313" s="194">
        <v>20000</v>
      </c>
      <c r="AK313" s="193">
        <v>4</v>
      </c>
      <c r="AL313" s="193">
        <f t="shared" ref="AL313:AL321" si="89">AK313+AL314</f>
        <v>593</v>
      </c>
      <c r="AM313" s="193">
        <f t="shared" ref="AM313:AM321" si="90">AJ313*AL313</f>
        <v>11860000</v>
      </c>
      <c r="AN313" s="193"/>
    </row>
    <row r="314" spans="8:40">
      <c r="Q314" s="97" t="s">
        <v>4458</v>
      </c>
      <c r="R314" s="93">
        <v>2269000</v>
      </c>
      <c r="T314" s="166" t="s">
        <v>5255</v>
      </c>
      <c r="U314" s="210">
        <v>-358</v>
      </c>
      <c r="V314" s="111">
        <v>558.24400000000003</v>
      </c>
      <c r="W314" s="111">
        <f t="shared" si="84"/>
        <v>-199851.35200000001</v>
      </c>
      <c r="X314" s="36" t="s">
        <v>744</v>
      </c>
      <c r="Y314" t="s">
        <v>25</v>
      </c>
      <c r="AH314" s="193">
        <v>48</v>
      </c>
      <c r="AI314" s="193" t="s">
        <v>4792</v>
      </c>
      <c r="AJ314" s="194">
        <v>30000000</v>
      </c>
      <c r="AK314" s="193">
        <v>27</v>
      </c>
      <c r="AL314" s="193">
        <f t="shared" si="89"/>
        <v>589</v>
      </c>
      <c r="AM314" s="193">
        <f t="shared" si="90"/>
        <v>17670000000</v>
      </c>
      <c r="AN314" s="193" t="s">
        <v>4793</v>
      </c>
    </row>
    <row r="315" spans="8:40">
      <c r="Q315" s="97" t="s">
        <v>4561</v>
      </c>
      <c r="R315" s="93">
        <v>25071612</v>
      </c>
      <c r="T315" s="187" t="s">
        <v>5264</v>
      </c>
      <c r="U315" s="187">
        <v>-3326</v>
      </c>
      <c r="V315" s="186">
        <v>601.39300000000003</v>
      </c>
      <c r="W315" s="186">
        <f t="shared" si="84"/>
        <v>-2000233.118</v>
      </c>
      <c r="X315" s="275" t="s">
        <v>5107</v>
      </c>
      <c r="AH315" s="20">
        <v>49</v>
      </c>
      <c r="AI315" s="20" t="s">
        <v>4866</v>
      </c>
      <c r="AJ315" s="115">
        <v>1100000</v>
      </c>
      <c r="AK315" s="20">
        <v>1</v>
      </c>
      <c r="AL315" s="20">
        <f t="shared" si="89"/>
        <v>562</v>
      </c>
      <c r="AM315" s="20">
        <f t="shared" si="90"/>
        <v>618200000</v>
      </c>
      <c r="AN315" s="20"/>
    </row>
    <row r="316" spans="8:40">
      <c r="Q316" s="97" t="s">
        <v>4570</v>
      </c>
      <c r="R316" s="93">
        <v>42236984</v>
      </c>
      <c r="T316" s="187" t="s">
        <v>5266</v>
      </c>
      <c r="U316" s="187">
        <v>3326</v>
      </c>
      <c r="V316" s="186">
        <v>601.39300000000003</v>
      </c>
      <c r="W316" s="186">
        <f t="shared" si="84"/>
        <v>2000233.118</v>
      </c>
      <c r="X316" s="275" t="s">
        <v>5107</v>
      </c>
      <c r="Y316" t="s">
        <v>25</v>
      </c>
      <c r="AA316" t="s">
        <v>25</v>
      </c>
      <c r="AH316" s="20">
        <v>50</v>
      </c>
      <c r="AI316" s="20" t="s">
        <v>4867</v>
      </c>
      <c r="AJ316" s="115">
        <v>450000</v>
      </c>
      <c r="AK316" s="20">
        <v>0</v>
      </c>
      <c r="AL316" s="20">
        <f t="shared" si="89"/>
        <v>561</v>
      </c>
      <c r="AM316" s="20">
        <f t="shared" si="90"/>
        <v>252450000</v>
      </c>
      <c r="AN316" s="20"/>
    </row>
    <row r="317" spans="8:40">
      <c r="Q317" s="97" t="s">
        <v>4571</v>
      </c>
      <c r="R317" s="93">
        <v>19663646</v>
      </c>
      <c r="T317" s="187" t="s">
        <v>5277</v>
      </c>
      <c r="U317" s="187">
        <v>63259</v>
      </c>
      <c r="V317" s="186">
        <v>632.31960000000004</v>
      </c>
      <c r="W317" s="186">
        <f t="shared" si="84"/>
        <v>39999905.576400004</v>
      </c>
      <c r="X317" s="275" t="s">
        <v>1071</v>
      </c>
      <c r="Z317" t="s">
        <v>25</v>
      </c>
      <c r="AH317" s="147">
        <v>51</v>
      </c>
      <c r="AI317" s="147" t="s">
        <v>4867</v>
      </c>
      <c r="AJ317" s="186">
        <v>550000</v>
      </c>
      <c r="AK317" s="147">
        <v>1</v>
      </c>
      <c r="AL317" s="147">
        <f t="shared" si="89"/>
        <v>561</v>
      </c>
      <c r="AM317" s="147">
        <f t="shared" si="90"/>
        <v>308550000</v>
      </c>
      <c r="AN317" s="147"/>
    </row>
    <row r="318" spans="8:40">
      <c r="Q318" s="97" t="s">
        <v>4594</v>
      </c>
      <c r="R318" s="93">
        <v>4374525</v>
      </c>
      <c r="T318" s="19" t="s">
        <v>5282</v>
      </c>
      <c r="U318" s="19">
        <v>-1278</v>
      </c>
      <c r="V318" s="115">
        <v>625.98</v>
      </c>
      <c r="W318" s="115">
        <f t="shared" si="84"/>
        <v>-800002.44000000006</v>
      </c>
      <c r="X318" s="276" t="s">
        <v>5283</v>
      </c>
      <c r="AH318" s="147">
        <v>52</v>
      </c>
      <c r="AI318" s="147" t="s">
        <v>4869</v>
      </c>
      <c r="AJ318" s="186">
        <v>1000000</v>
      </c>
      <c r="AK318" s="147">
        <v>8</v>
      </c>
      <c r="AL318" s="147">
        <f t="shared" si="89"/>
        <v>560</v>
      </c>
      <c r="AM318" s="147">
        <f t="shared" si="90"/>
        <v>560000000</v>
      </c>
      <c r="AN318" s="147"/>
    </row>
    <row r="319" spans="8:40">
      <c r="Q319" s="97" t="s">
        <v>4605</v>
      </c>
      <c r="R319" s="93">
        <v>6550580</v>
      </c>
      <c r="T319" s="19" t="s">
        <v>5288</v>
      </c>
      <c r="U319" s="19">
        <v>32049</v>
      </c>
      <c r="V319" s="115">
        <v>624.04600000000005</v>
      </c>
      <c r="W319" s="115">
        <f t="shared" si="84"/>
        <v>20000050.254000001</v>
      </c>
      <c r="X319" s="276" t="s">
        <v>5146</v>
      </c>
      <c r="AH319" s="20">
        <v>53</v>
      </c>
      <c r="AI319" s="20" t="s">
        <v>4878</v>
      </c>
      <c r="AJ319" s="115">
        <v>-2668880</v>
      </c>
      <c r="AK319" s="20">
        <v>0</v>
      </c>
      <c r="AL319" s="20">
        <f t="shared" si="89"/>
        <v>552</v>
      </c>
      <c r="AM319" s="20">
        <f t="shared" si="90"/>
        <v>-1473221760</v>
      </c>
      <c r="AN319" s="20" t="s">
        <v>4880</v>
      </c>
    </row>
    <row r="320" spans="8:40" ht="30">
      <c r="Q320" s="97" t="s">
        <v>4607</v>
      </c>
      <c r="R320" s="93">
        <v>7054895</v>
      </c>
      <c r="T320" s="19" t="s">
        <v>5298</v>
      </c>
      <c r="U320" s="19">
        <v>45094</v>
      </c>
      <c r="V320" s="115">
        <v>614.13559759999998</v>
      </c>
      <c r="W320" s="115">
        <f t="shared" si="84"/>
        <v>27693830.6381744</v>
      </c>
      <c r="X320" s="276" t="s">
        <v>5300</v>
      </c>
      <c r="Y320" t="s">
        <v>25</v>
      </c>
      <c r="AH320" s="147">
        <v>54</v>
      </c>
      <c r="AI320" s="147" t="s">
        <v>4878</v>
      </c>
      <c r="AJ320" s="186">
        <v>-1528620</v>
      </c>
      <c r="AK320" s="147">
        <v>0</v>
      </c>
      <c r="AL320" s="147">
        <f t="shared" si="89"/>
        <v>552</v>
      </c>
      <c r="AM320" s="147">
        <f t="shared" si="90"/>
        <v>-843798240</v>
      </c>
      <c r="AN320" s="147" t="s">
        <v>4880</v>
      </c>
    </row>
    <row r="321" spans="17:44" ht="30">
      <c r="Q321" s="97" t="s">
        <v>4624</v>
      </c>
      <c r="R321" s="93">
        <v>2145814</v>
      </c>
      <c r="T321" s="19" t="s">
        <v>5328</v>
      </c>
      <c r="U321" s="19">
        <v>-11804</v>
      </c>
      <c r="V321" s="115">
        <v>762.46640000000002</v>
      </c>
      <c r="W321" s="115">
        <f t="shared" si="84"/>
        <v>-9000153.3856000006</v>
      </c>
      <c r="X321" s="276" t="s">
        <v>5330</v>
      </c>
      <c r="AH321" s="20">
        <v>55</v>
      </c>
      <c r="AI321" s="20" t="s">
        <v>4878</v>
      </c>
      <c r="AJ321" s="115">
        <v>50000000</v>
      </c>
      <c r="AK321" s="20">
        <v>4</v>
      </c>
      <c r="AL321" s="20">
        <f t="shared" si="89"/>
        <v>552</v>
      </c>
      <c r="AM321" s="20">
        <f t="shared" si="90"/>
        <v>27600000000</v>
      </c>
      <c r="AN321" s="20"/>
    </row>
    <row r="322" spans="17:44">
      <c r="Q322" s="97" t="s">
        <v>4635</v>
      </c>
      <c r="R322" s="93">
        <v>4369730</v>
      </c>
      <c r="T322" s="19" t="s">
        <v>5373</v>
      </c>
      <c r="U322" s="19">
        <v>844</v>
      </c>
      <c r="V322" s="115">
        <v>830</v>
      </c>
      <c r="W322" s="115">
        <f t="shared" si="84"/>
        <v>700520</v>
      </c>
      <c r="X322" s="276" t="s">
        <v>4410</v>
      </c>
      <c r="AA322" t="s">
        <v>25</v>
      </c>
      <c r="AH322" s="20">
        <v>56</v>
      </c>
      <c r="AI322" s="20" t="s">
        <v>4884</v>
      </c>
      <c r="AJ322" s="115">
        <v>400000</v>
      </c>
      <c r="AK322" s="20">
        <v>4</v>
      </c>
      <c r="AL322" s="20">
        <f t="shared" ref="AL322:AL331" si="91">AK322+AL323</f>
        <v>548</v>
      </c>
      <c r="AM322" s="20">
        <f t="shared" ref="AM322:AM331" si="92">AJ322*AL322</f>
        <v>219200000</v>
      </c>
      <c r="AN322" s="20"/>
    </row>
    <row r="323" spans="17:44">
      <c r="Q323" s="97" t="s">
        <v>4637</v>
      </c>
      <c r="R323" s="93">
        <v>8739459</v>
      </c>
      <c r="T323" s="19" t="s">
        <v>5377</v>
      </c>
      <c r="U323" s="19">
        <v>8662</v>
      </c>
      <c r="V323" s="115">
        <v>832.57011999999997</v>
      </c>
      <c r="W323" s="115">
        <f t="shared" si="84"/>
        <v>7211722.3794399993</v>
      </c>
      <c r="X323" s="276" t="s">
        <v>5141</v>
      </c>
      <c r="AH323" s="20">
        <v>57</v>
      </c>
      <c r="AI323" s="20" t="s">
        <v>4894</v>
      </c>
      <c r="AJ323" s="115">
        <v>2000000</v>
      </c>
      <c r="AK323" s="20">
        <v>3</v>
      </c>
      <c r="AL323" s="20">
        <f t="shared" si="91"/>
        <v>544</v>
      </c>
      <c r="AM323" s="20">
        <f t="shared" si="92"/>
        <v>1088000000</v>
      </c>
      <c r="AN323" s="20"/>
    </row>
    <row r="324" spans="17:44" ht="30">
      <c r="Q324" s="97" t="s">
        <v>4646</v>
      </c>
      <c r="R324" s="93">
        <v>6667654</v>
      </c>
      <c r="T324" s="19" t="s">
        <v>5378</v>
      </c>
      <c r="U324" s="19">
        <v>10253</v>
      </c>
      <c r="V324" s="115">
        <v>827.2568</v>
      </c>
      <c r="W324" s="115">
        <f t="shared" si="84"/>
        <v>8481863.9704</v>
      </c>
      <c r="X324" s="276" t="s">
        <v>5385</v>
      </c>
      <c r="AH324" s="20">
        <v>58</v>
      </c>
      <c r="AI324" s="20" t="s">
        <v>4897</v>
      </c>
      <c r="AJ324" s="115">
        <v>100000</v>
      </c>
      <c r="AK324" s="20">
        <v>4</v>
      </c>
      <c r="AL324" s="20">
        <f t="shared" si="91"/>
        <v>541</v>
      </c>
      <c r="AM324" s="20">
        <f t="shared" si="92"/>
        <v>54100000</v>
      </c>
      <c r="AN324" s="20" t="s">
        <v>3875</v>
      </c>
    </row>
    <row r="325" spans="17:44">
      <c r="Q325" s="97" t="s">
        <v>3668</v>
      </c>
      <c r="R325" s="93">
        <v>8981245</v>
      </c>
      <c r="T325" s="242" t="s">
        <v>5386</v>
      </c>
      <c r="U325" s="242">
        <v>-33077</v>
      </c>
      <c r="V325" s="243">
        <v>786.02973999999995</v>
      </c>
      <c r="W325" s="243">
        <f t="shared" si="84"/>
        <v>-25999505.70998</v>
      </c>
      <c r="X325" s="284" t="s">
        <v>5389</v>
      </c>
      <c r="Y325" t="s">
        <v>25</v>
      </c>
      <c r="AH325" s="20">
        <v>59</v>
      </c>
      <c r="AI325" s="20" t="s">
        <v>4904</v>
      </c>
      <c r="AJ325" s="115">
        <v>100000</v>
      </c>
      <c r="AK325" s="20">
        <v>7</v>
      </c>
      <c r="AL325" s="20">
        <f t="shared" si="91"/>
        <v>537</v>
      </c>
      <c r="AM325" s="20">
        <f t="shared" si="92"/>
        <v>53700000</v>
      </c>
      <c r="AN325" s="20"/>
    </row>
    <row r="326" spans="17:44">
      <c r="Q326" s="97" t="s">
        <v>4658</v>
      </c>
      <c r="R326" s="93">
        <v>9181756</v>
      </c>
      <c r="T326" s="19" t="s">
        <v>5386</v>
      </c>
      <c r="U326" s="19">
        <v>-33077</v>
      </c>
      <c r="V326" s="115">
        <v>786.02973999999995</v>
      </c>
      <c r="W326" s="115">
        <f t="shared" si="84"/>
        <v>-25999505.70998</v>
      </c>
      <c r="X326" s="276" t="s">
        <v>5390</v>
      </c>
      <c r="Y326" t="s">
        <v>25</v>
      </c>
      <c r="Z326" t="s">
        <v>25</v>
      </c>
      <c r="AA326" t="s">
        <v>25</v>
      </c>
      <c r="AH326" s="20">
        <v>60</v>
      </c>
      <c r="AI326" s="20" t="s">
        <v>4917</v>
      </c>
      <c r="AJ326" s="115">
        <v>50000</v>
      </c>
      <c r="AK326" s="20">
        <v>0</v>
      </c>
      <c r="AL326" s="20">
        <f t="shared" si="91"/>
        <v>530</v>
      </c>
      <c r="AM326" s="20">
        <f t="shared" si="92"/>
        <v>26500000</v>
      </c>
      <c r="AN326" s="20"/>
    </row>
    <row r="327" spans="17:44">
      <c r="Q327" s="97" t="s">
        <v>4661</v>
      </c>
      <c r="R327" s="93">
        <v>11811208</v>
      </c>
      <c r="T327" s="19" t="s">
        <v>5386</v>
      </c>
      <c r="U327" s="19">
        <v>1983</v>
      </c>
      <c r="V327" s="115">
        <v>786.02973999999995</v>
      </c>
      <c r="W327" s="115">
        <f t="shared" si="84"/>
        <v>1558696.9744199999</v>
      </c>
      <c r="X327" s="276" t="s">
        <v>5141</v>
      </c>
      <c r="AH327" s="147">
        <v>61</v>
      </c>
      <c r="AI327" s="147" t="s">
        <v>4917</v>
      </c>
      <c r="AJ327" s="186">
        <v>50000</v>
      </c>
      <c r="AK327" s="147">
        <v>3</v>
      </c>
      <c r="AL327" s="147">
        <f t="shared" si="91"/>
        <v>530</v>
      </c>
      <c r="AM327" s="147">
        <f t="shared" si="92"/>
        <v>26500000</v>
      </c>
      <c r="AN327" s="147"/>
    </row>
    <row r="328" spans="17:44">
      <c r="Q328" s="97" t="s">
        <v>4675</v>
      </c>
      <c r="R328" s="93">
        <v>41248054</v>
      </c>
      <c r="T328" s="242" t="s">
        <v>5391</v>
      </c>
      <c r="U328" s="242">
        <v>-119753</v>
      </c>
      <c r="V328" s="243">
        <v>800.81560000000002</v>
      </c>
      <c r="W328" s="243">
        <f t="shared" si="84"/>
        <v>-95900070.546800002</v>
      </c>
      <c r="X328" s="284" t="s">
        <v>5389</v>
      </c>
      <c r="AH328" s="20">
        <v>62</v>
      </c>
      <c r="AI328" s="20" t="s">
        <v>4920</v>
      </c>
      <c r="AJ328" s="115">
        <v>50000</v>
      </c>
      <c r="AK328" s="20">
        <v>0</v>
      </c>
      <c r="AL328" s="20">
        <f t="shared" si="91"/>
        <v>527</v>
      </c>
      <c r="AM328" s="20">
        <f t="shared" si="92"/>
        <v>26350000</v>
      </c>
      <c r="AN328" s="20"/>
    </row>
    <row r="329" spans="17:44">
      <c r="Q329" s="97" t="s">
        <v>4682</v>
      </c>
      <c r="R329" s="93">
        <v>37328780</v>
      </c>
      <c r="T329" s="19" t="s">
        <v>5391</v>
      </c>
      <c r="U329" s="19">
        <v>-119753</v>
      </c>
      <c r="V329" s="115">
        <v>800.81560000000002</v>
      </c>
      <c r="W329" s="115">
        <f t="shared" si="84"/>
        <v>-95900070.546800002</v>
      </c>
      <c r="X329" s="276" t="s">
        <v>5390</v>
      </c>
      <c r="AH329" s="193">
        <v>63</v>
      </c>
      <c r="AI329" s="193" t="s">
        <v>4920</v>
      </c>
      <c r="AJ329" s="194">
        <v>50000</v>
      </c>
      <c r="AK329" s="193">
        <v>2</v>
      </c>
      <c r="AL329" s="193">
        <f t="shared" si="91"/>
        <v>527</v>
      </c>
      <c r="AM329" s="193">
        <f t="shared" si="92"/>
        <v>26350000</v>
      </c>
      <c r="AN329" s="193"/>
    </row>
    <row r="330" spans="17:44">
      <c r="Q330" s="97" t="s">
        <v>4688</v>
      </c>
      <c r="R330" s="93">
        <v>50000000</v>
      </c>
      <c r="S330" s="112"/>
      <c r="T330" s="19" t="s">
        <v>5391</v>
      </c>
      <c r="U330" s="19">
        <v>11291</v>
      </c>
      <c r="V330" s="115">
        <v>800.81560000000002</v>
      </c>
      <c r="W330" s="115">
        <f t="shared" si="84"/>
        <v>9042008.9396000002</v>
      </c>
      <c r="X330" s="276" t="s">
        <v>452</v>
      </c>
      <c r="AH330" s="20">
        <v>64</v>
      </c>
      <c r="AI330" s="20" t="s">
        <v>4927</v>
      </c>
      <c r="AJ330" s="115">
        <v>25000</v>
      </c>
      <c r="AK330" s="20">
        <v>0</v>
      </c>
      <c r="AL330" s="20">
        <f t="shared" si="91"/>
        <v>525</v>
      </c>
      <c r="AM330" s="20">
        <f t="shared" si="92"/>
        <v>13125000</v>
      </c>
      <c r="AN330" s="20"/>
    </row>
    <row r="331" spans="17:44">
      <c r="Q331" s="97" t="s">
        <v>4749</v>
      </c>
      <c r="R331" s="93">
        <v>68656</v>
      </c>
      <c r="T331" s="187" t="s">
        <v>5392</v>
      </c>
      <c r="U331" s="187">
        <v>-35361</v>
      </c>
      <c r="V331" s="186">
        <v>818.697</v>
      </c>
      <c r="W331" s="186">
        <f t="shared" si="84"/>
        <v>-28949944.616999999</v>
      </c>
      <c r="X331" s="275" t="s">
        <v>5389</v>
      </c>
      <c r="AH331" s="147">
        <v>65</v>
      </c>
      <c r="AI331" s="147" t="s">
        <v>4927</v>
      </c>
      <c r="AJ331" s="186">
        <v>35000</v>
      </c>
      <c r="AK331" s="147">
        <v>7</v>
      </c>
      <c r="AL331" s="147">
        <f t="shared" si="91"/>
        <v>525</v>
      </c>
      <c r="AM331" s="147">
        <f t="shared" si="92"/>
        <v>18375000</v>
      </c>
      <c r="AN331" s="147"/>
    </row>
    <row r="332" spans="17:44">
      <c r="Q332" s="97" t="s">
        <v>4758</v>
      </c>
      <c r="R332" s="93">
        <v>4000236</v>
      </c>
      <c r="T332" s="19" t="s">
        <v>5392</v>
      </c>
      <c r="U332" s="19">
        <v>-35361</v>
      </c>
      <c r="V332" s="115">
        <v>818.697</v>
      </c>
      <c r="W332" s="115">
        <f t="shared" si="84"/>
        <v>-28949944.616999999</v>
      </c>
      <c r="X332" s="276" t="s">
        <v>5390</v>
      </c>
      <c r="AH332" s="147">
        <v>66</v>
      </c>
      <c r="AI332" s="147" t="s">
        <v>4935</v>
      </c>
      <c r="AJ332" s="186">
        <v>30000000</v>
      </c>
      <c r="AK332" s="147">
        <v>0</v>
      </c>
      <c r="AL332" s="147">
        <f t="shared" ref="AL332:AL351" si="93">AK332+AL333</f>
        <v>518</v>
      </c>
      <c r="AM332" s="147">
        <f t="shared" ref="AM332:AM351" si="94">AJ332*AL332</f>
        <v>15540000000</v>
      </c>
      <c r="AN332" s="147"/>
      <c r="AR332" t="s">
        <v>25</v>
      </c>
    </row>
    <row r="333" spans="17:44">
      <c r="Q333" s="97" t="s">
        <v>4758</v>
      </c>
      <c r="R333" s="93">
        <v>2250000</v>
      </c>
      <c r="T333" s="19" t="s">
        <v>5392</v>
      </c>
      <c r="U333" s="19">
        <v>116</v>
      </c>
      <c r="V333" s="115">
        <v>818.697</v>
      </c>
      <c r="W333" s="115">
        <f t="shared" si="84"/>
        <v>94968.851999999999</v>
      </c>
      <c r="X333" s="276" t="s">
        <v>5141</v>
      </c>
      <c r="AH333" s="20">
        <v>67</v>
      </c>
      <c r="AI333" s="20" t="s">
        <v>4935</v>
      </c>
      <c r="AJ333" s="115">
        <v>6800000</v>
      </c>
      <c r="AK333" s="20">
        <v>1</v>
      </c>
      <c r="AL333" s="20">
        <f t="shared" si="93"/>
        <v>518</v>
      </c>
      <c r="AM333" s="20">
        <f t="shared" si="94"/>
        <v>3522400000</v>
      </c>
      <c r="AN333" s="20"/>
    </row>
    <row r="334" spans="17:44">
      <c r="Q334" s="97" t="s">
        <v>4763</v>
      </c>
      <c r="R334" s="93">
        <v>-2512200</v>
      </c>
      <c r="T334" s="19" t="s">
        <v>5397</v>
      </c>
      <c r="U334" s="19">
        <v>48633</v>
      </c>
      <c r="V334" s="115">
        <v>822.47199999999998</v>
      </c>
      <c r="W334" s="115">
        <f t="shared" si="84"/>
        <v>39999280.776000001</v>
      </c>
      <c r="X334" s="276" t="s">
        <v>5401</v>
      </c>
      <c r="Y334" t="s">
        <v>25</v>
      </c>
      <c r="AH334" s="20">
        <v>68</v>
      </c>
      <c r="AI334" s="20" t="s">
        <v>4938</v>
      </c>
      <c r="AJ334" s="115">
        <v>500000</v>
      </c>
      <c r="AK334" s="20">
        <v>1</v>
      </c>
      <c r="AL334" s="20">
        <f t="shared" si="93"/>
        <v>517</v>
      </c>
      <c r="AM334" s="20">
        <f t="shared" si="94"/>
        <v>258500000</v>
      </c>
      <c r="AN334" s="20"/>
    </row>
    <row r="335" spans="17:44">
      <c r="Q335" s="97" t="s">
        <v>4772</v>
      </c>
      <c r="R335" s="93">
        <v>300000</v>
      </c>
      <c r="T335" s="19" t="s">
        <v>5397</v>
      </c>
      <c r="U335" s="19">
        <v>3412</v>
      </c>
      <c r="V335" s="115">
        <v>822.47199999999998</v>
      </c>
      <c r="W335" s="115">
        <f t="shared" si="84"/>
        <v>2806274.4640000002</v>
      </c>
      <c r="X335" s="276" t="s">
        <v>5403</v>
      </c>
      <c r="Y335" t="s">
        <v>25</v>
      </c>
      <c r="AH335" s="20">
        <v>69</v>
      </c>
      <c r="AI335" s="20" t="s">
        <v>4944</v>
      </c>
      <c r="AJ335" s="115">
        <v>850000</v>
      </c>
      <c r="AK335" s="20">
        <v>5</v>
      </c>
      <c r="AL335" s="20">
        <f t="shared" si="93"/>
        <v>516</v>
      </c>
      <c r="AM335" s="20">
        <f t="shared" si="94"/>
        <v>438600000</v>
      </c>
      <c r="AN335" s="20"/>
    </row>
    <row r="336" spans="17:44">
      <c r="Q336" s="97" t="s">
        <v>966</v>
      </c>
      <c r="R336" s="93">
        <v>1100000</v>
      </c>
      <c r="T336" s="19" t="s">
        <v>5398</v>
      </c>
      <c r="U336" s="19">
        <v>1531</v>
      </c>
      <c r="V336" s="115">
        <v>869.82500000000005</v>
      </c>
      <c r="W336" s="115">
        <f t="shared" si="84"/>
        <v>1331702.075</v>
      </c>
      <c r="X336" s="276" t="s">
        <v>5404</v>
      </c>
      <c r="Z336" t="s">
        <v>25</v>
      </c>
      <c r="AH336" s="20">
        <v>70</v>
      </c>
      <c r="AI336" s="20" t="s">
        <v>4953</v>
      </c>
      <c r="AJ336" s="115">
        <v>1130250</v>
      </c>
      <c r="AK336" s="20">
        <v>0</v>
      </c>
      <c r="AL336" s="20">
        <f t="shared" si="93"/>
        <v>511</v>
      </c>
      <c r="AM336" s="20">
        <f t="shared" si="94"/>
        <v>577557750</v>
      </c>
      <c r="AN336" s="20"/>
      <c r="AR336" t="s">
        <v>25</v>
      </c>
    </row>
    <row r="337" spans="17:46">
      <c r="Q337" s="97" t="s">
        <v>4779</v>
      </c>
      <c r="R337" s="93">
        <v>890000</v>
      </c>
      <c r="T337" s="170" t="s">
        <v>5407</v>
      </c>
      <c r="U337" s="170">
        <v>2394</v>
      </c>
      <c r="V337" s="168">
        <v>835.36580000000004</v>
      </c>
      <c r="W337" s="168">
        <f t="shared" si="84"/>
        <v>1999865.7252</v>
      </c>
      <c r="X337" s="285" t="s">
        <v>5409</v>
      </c>
      <c r="Y337" t="s">
        <v>25</v>
      </c>
      <c r="Z337" t="s">
        <v>25</v>
      </c>
      <c r="AH337" s="252">
        <v>71</v>
      </c>
      <c r="AI337" s="252" t="s">
        <v>4953</v>
      </c>
      <c r="AJ337" s="243">
        <v>30000</v>
      </c>
      <c r="AK337" s="252">
        <v>5</v>
      </c>
      <c r="AL337" s="252">
        <f t="shared" si="93"/>
        <v>511</v>
      </c>
      <c r="AM337" s="252">
        <f t="shared" si="94"/>
        <v>15330000</v>
      </c>
      <c r="AN337" s="252"/>
      <c r="AS337" t="s">
        <v>25</v>
      </c>
    </row>
    <row r="338" spans="17:46">
      <c r="Q338" s="97" t="s">
        <v>4799</v>
      </c>
      <c r="R338" s="93">
        <v>1000000</v>
      </c>
      <c r="T338" s="19" t="s">
        <v>5407</v>
      </c>
      <c r="U338" s="19">
        <v>1019</v>
      </c>
      <c r="V338" s="115">
        <v>835.36580000000004</v>
      </c>
      <c r="W338" s="115">
        <f t="shared" si="84"/>
        <v>851237.75020000001</v>
      </c>
      <c r="X338" s="276" t="s">
        <v>452</v>
      </c>
      <c r="Y338" t="s">
        <v>25</v>
      </c>
      <c r="AH338" s="20">
        <v>72</v>
      </c>
      <c r="AI338" s="20" t="s">
        <v>4961</v>
      </c>
      <c r="AJ338" s="115">
        <v>206000</v>
      </c>
      <c r="AK338" s="20">
        <v>0</v>
      </c>
      <c r="AL338" s="20">
        <f t="shared" si="93"/>
        <v>506</v>
      </c>
      <c r="AM338" s="20">
        <f t="shared" si="94"/>
        <v>104236000</v>
      </c>
      <c r="AN338" s="20"/>
      <c r="AR338" t="s">
        <v>25</v>
      </c>
      <c r="AT338" s="94" t="s">
        <v>25</v>
      </c>
    </row>
    <row r="339" spans="17:46">
      <c r="Q339" s="97" t="s">
        <v>4800</v>
      </c>
      <c r="R339" s="93">
        <v>45436311</v>
      </c>
      <c r="T339" s="187" t="s">
        <v>5413</v>
      </c>
      <c r="U339" s="187">
        <v>2316</v>
      </c>
      <c r="V339" s="186">
        <v>818.697</v>
      </c>
      <c r="W339" s="186">
        <f t="shared" si="84"/>
        <v>1896102.2520000001</v>
      </c>
      <c r="X339" s="275" t="s">
        <v>5416</v>
      </c>
      <c r="Y339" t="s">
        <v>25</v>
      </c>
      <c r="AA339" t="s">
        <v>25</v>
      </c>
      <c r="AH339" s="147">
        <v>73</v>
      </c>
      <c r="AI339" s="147" t="s">
        <v>4961</v>
      </c>
      <c r="AJ339" s="186">
        <v>206000</v>
      </c>
      <c r="AK339" s="147">
        <v>2</v>
      </c>
      <c r="AL339" s="147">
        <f t="shared" si="93"/>
        <v>506</v>
      </c>
      <c r="AM339" s="147">
        <f t="shared" si="94"/>
        <v>104236000</v>
      </c>
      <c r="AN339" s="147"/>
      <c r="AS339" t="s">
        <v>25</v>
      </c>
    </row>
    <row r="340" spans="17:46">
      <c r="Q340" s="97" t="s">
        <v>4800</v>
      </c>
      <c r="R340" s="93">
        <v>-3500000</v>
      </c>
      <c r="T340" s="19" t="s">
        <v>5419</v>
      </c>
      <c r="U340" s="19">
        <v>315</v>
      </c>
      <c r="V340" s="115">
        <v>680</v>
      </c>
      <c r="W340" s="115">
        <f t="shared" si="84"/>
        <v>214200</v>
      </c>
      <c r="X340" s="276" t="s">
        <v>5141</v>
      </c>
      <c r="Y340" t="s">
        <v>25</v>
      </c>
      <c r="AH340" s="20">
        <v>74</v>
      </c>
      <c r="AI340" s="20" t="s">
        <v>4968</v>
      </c>
      <c r="AJ340" s="115">
        <v>50000</v>
      </c>
      <c r="AK340" s="20">
        <v>0</v>
      </c>
      <c r="AL340" s="20">
        <f t="shared" si="93"/>
        <v>504</v>
      </c>
      <c r="AM340" s="20">
        <f t="shared" si="94"/>
        <v>25200000</v>
      </c>
      <c r="AN340" s="20"/>
    </row>
    <row r="341" spans="17:46">
      <c r="Q341" s="97" t="s">
        <v>4812</v>
      </c>
      <c r="R341" s="93">
        <v>2520000</v>
      </c>
      <c r="T341" s="19" t="s">
        <v>5443</v>
      </c>
      <c r="U341" s="19">
        <v>832</v>
      </c>
      <c r="V341" s="115">
        <v>784.36500000000001</v>
      </c>
      <c r="W341" s="115">
        <f t="shared" si="84"/>
        <v>652591.68000000005</v>
      </c>
      <c r="X341" s="276" t="s">
        <v>5141</v>
      </c>
      <c r="AA341" t="s">
        <v>25</v>
      </c>
      <c r="AH341" s="252">
        <v>75</v>
      </c>
      <c r="AI341" s="252" t="s">
        <v>4968</v>
      </c>
      <c r="AJ341" s="243">
        <v>50000</v>
      </c>
      <c r="AK341" s="252">
        <v>2</v>
      </c>
      <c r="AL341" s="252">
        <f t="shared" si="93"/>
        <v>504</v>
      </c>
      <c r="AM341" s="252">
        <f t="shared" si="94"/>
        <v>25200000</v>
      </c>
      <c r="AN341" s="252"/>
    </row>
    <row r="342" spans="17:46">
      <c r="Q342" s="97" t="s">
        <v>4847</v>
      </c>
      <c r="R342" s="93">
        <v>4900000</v>
      </c>
      <c r="T342" s="19" t="s">
        <v>5501</v>
      </c>
      <c r="U342" s="19">
        <v>382</v>
      </c>
      <c r="V342" s="115">
        <v>1450.6065000000001</v>
      </c>
      <c r="W342" s="115">
        <f t="shared" si="84"/>
        <v>554131.68300000008</v>
      </c>
      <c r="X342" s="276" t="s">
        <v>5141</v>
      </c>
      <c r="AH342" s="20">
        <v>76</v>
      </c>
      <c r="AI342" s="20" t="s">
        <v>4972</v>
      </c>
      <c r="AJ342" s="115">
        <v>20000000</v>
      </c>
      <c r="AK342" s="20">
        <v>7</v>
      </c>
      <c r="AL342" s="20">
        <f t="shared" si="93"/>
        <v>502</v>
      </c>
      <c r="AM342" s="20">
        <f t="shared" si="94"/>
        <v>10040000000</v>
      </c>
      <c r="AN342" s="20" t="s">
        <v>4973</v>
      </c>
    </row>
    <row r="343" spans="17:46">
      <c r="Q343" s="97" t="s">
        <v>4866</v>
      </c>
      <c r="R343" s="93">
        <v>1150000</v>
      </c>
      <c r="T343" s="19" t="s">
        <v>5502</v>
      </c>
      <c r="U343" s="19">
        <v>50047</v>
      </c>
      <c r="V343" s="115">
        <v>1406.14</v>
      </c>
      <c r="W343" s="115">
        <f t="shared" si="84"/>
        <v>70373088.579999998</v>
      </c>
      <c r="X343" s="276" t="s">
        <v>5141</v>
      </c>
      <c r="Y343" t="s">
        <v>25</v>
      </c>
      <c r="AH343" s="20">
        <v>77</v>
      </c>
      <c r="AI343" s="20" t="s">
        <v>4983</v>
      </c>
      <c r="AJ343" s="115">
        <v>50000</v>
      </c>
      <c r="AK343" s="20">
        <v>0</v>
      </c>
      <c r="AL343" s="20">
        <f t="shared" si="93"/>
        <v>495</v>
      </c>
      <c r="AM343" s="20">
        <f t="shared" si="94"/>
        <v>24750000</v>
      </c>
      <c r="AN343" s="20"/>
    </row>
    <row r="344" spans="17:46">
      <c r="Q344" s="97" t="s">
        <v>4819</v>
      </c>
      <c r="R344" s="93">
        <v>250000</v>
      </c>
      <c r="T344" s="19" t="s">
        <v>5503</v>
      </c>
      <c r="U344" s="19">
        <v>846</v>
      </c>
      <c r="V344" s="115">
        <v>1441.6724569999999</v>
      </c>
      <c r="W344" s="115">
        <f t="shared" si="84"/>
        <v>1219654.8986219999</v>
      </c>
      <c r="X344" s="276" t="s">
        <v>5141</v>
      </c>
      <c r="Y344" t="s">
        <v>25</v>
      </c>
      <c r="AH344" s="147">
        <v>78</v>
      </c>
      <c r="AI344" s="147" t="s">
        <v>4983</v>
      </c>
      <c r="AJ344" s="186">
        <v>50000</v>
      </c>
      <c r="AK344" s="147">
        <v>7</v>
      </c>
      <c r="AL344" s="147">
        <f t="shared" si="93"/>
        <v>495</v>
      </c>
      <c r="AM344" s="147">
        <f t="shared" si="94"/>
        <v>24750000</v>
      </c>
      <c r="AN344" s="147"/>
    </row>
    <row r="345" spans="17:46">
      <c r="Q345" s="97" t="s">
        <v>4901</v>
      </c>
      <c r="R345" s="93">
        <v>1403460</v>
      </c>
      <c r="T345" s="19" t="s">
        <v>5504</v>
      </c>
      <c r="U345" s="19">
        <v>10573</v>
      </c>
      <c r="V345" s="115">
        <v>1451.825</v>
      </c>
      <c r="W345" s="115">
        <f t="shared" si="84"/>
        <v>15350145.725</v>
      </c>
      <c r="X345" s="276" t="s">
        <v>5141</v>
      </c>
      <c r="Y345" t="s">
        <v>25</v>
      </c>
      <c r="AA345" t="s">
        <v>25</v>
      </c>
      <c r="AH345" s="20">
        <v>79</v>
      </c>
      <c r="AI345" s="20" t="s">
        <v>4989</v>
      </c>
      <c r="AJ345" s="115">
        <v>2480000</v>
      </c>
      <c r="AK345" s="20">
        <v>0</v>
      </c>
      <c r="AL345" s="20">
        <f t="shared" si="93"/>
        <v>488</v>
      </c>
      <c r="AM345" s="20">
        <f t="shared" si="94"/>
        <v>1210240000</v>
      </c>
      <c r="AN345" s="20"/>
    </row>
    <row r="346" spans="17:46" ht="30">
      <c r="Q346" s="97" t="s">
        <v>4904</v>
      </c>
      <c r="R346" s="93">
        <v>200000</v>
      </c>
      <c r="T346" s="19" t="s">
        <v>5505</v>
      </c>
      <c r="U346" s="19">
        <v>85</v>
      </c>
      <c r="V346" s="115">
        <v>1423.74</v>
      </c>
      <c r="W346" s="115">
        <f t="shared" si="84"/>
        <v>121017.9</v>
      </c>
      <c r="X346" s="276" t="s">
        <v>5506</v>
      </c>
      <c r="AA346" t="s">
        <v>25</v>
      </c>
      <c r="AH346" s="147">
        <v>80</v>
      </c>
      <c r="AI346" s="147" t="s">
        <v>4989</v>
      </c>
      <c r="AJ346" s="186">
        <v>2480000</v>
      </c>
      <c r="AK346" s="147">
        <v>12</v>
      </c>
      <c r="AL346" s="147">
        <f t="shared" si="93"/>
        <v>488</v>
      </c>
      <c r="AM346" s="147">
        <f t="shared" si="94"/>
        <v>1210240000</v>
      </c>
      <c r="AN346" s="147"/>
    </row>
    <row r="347" spans="17:46" ht="30">
      <c r="Q347" s="97" t="s">
        <v>4909</v>
      </c>
      <c r="R347" s="93">
        <v>345000</v>
      </c>
      <c r="T347" s="19" t="s">
        <v>5509</v>
      </c>
      <c r="U347" s="19">
        <v>738</v>
      </c>
      <c r="V347" s="115">
        <v>1388.87895</v>
      </c>
      <c r="W347" s="115">
        <f t="shared" si="84"/>
        <v>1024992.6651</v>
      </c>
      <c r="X347" s="276" t="s">
        <v>5517</v>
      </c>
      <c r="AH347" s="20">
        <v>81</v>
      </c>
      <c r="AI347" s="20" t="s">
        <v>4996</v>
      </c>
      <c r="AJ347" s="115">
        <v>-24159500</v>
      </c>
      <c r="AK347" s="20">
        <v>4</v>
      </c>
      <c r="AL347" s="20">
        <f t="shared" si="93"/>
        <v>476</v>
      </c>
      <c r="AM347" s="20">
        <f t="shared" si="94"/>
        <v>-11499922000</v>
      </c>
      <c r="AN347" s="20" t="s">
        <v>5004</v>
      </c>
    </row>
    <row r="348" spans="17:46">
      <c r="Q348" s="97" t="s">
        <v>4914</v>
      </c>
      <c r="R348" s="93">
        <v>900000</v>
      </c>
      <c r="T348" s="19" t="s">
        <v>5525</v>
      </c>
      <c r="U348" s="19">
        <v>1442</v>
      </c>
      <c r="V348" s="115">
        <v>1350.9547279999999</v>
      </c>
      <c r="W348" s="115">
        <f t="shared" si="84"/>
        <v>1948076.7177759998</v>
      </c>
      <c r="X348" s="276" t="s">
        <v>5141</v>
      </c>
      <c r="Z348" t="s">
        <v>25</v>
      </c>
      <c r="AH348" s="20">
        <v>82</v>
      </c>
      <c r="AI348" s="20" t="s">
        <v>5006</v>
      </c>
      <c r="AJ348" s="115">
        <v>400000</v>
      </c>
      <c r="AK348" s="20">
        <v>3</v>
      </c>
      <c r="AL348" s="20">
        <f t="shared" si="93"/>
        <v>472</v>
      </c>
      <c r="AM348" s="20">
        <f t="shared" si="94"/>
        <v>188800000</v>
      </c>
      <c r="AN348" s="20"/>
    </row>
    <row r="349" spans="17:46">
      <c r="Q349" s="97" t="s">
        <v>4917</v>
      </c>
      <c r="R349" s="93">
        <v>372517</v>
      </c>
      <c r="T349" s="19" t="s">
        <v>5526</v>
      </c>
      <c r="U349" s="19">
        <v>36847</v>
      </c>
      <c r="V349" s="115">
        <v>1356.9658300000001</v>
      </c>
      <c r="W349" s="115">
        <f t="shared" si="84"/>
        <v>50000119.938010007</v>
      </c>
      <c r="X349" s="276" t="s">
        <v>5146</v>
      </c>
      <c r="AH349" s="147">
        <v>83</v>
      </c>
      <c r="AI349" s="147" t="s">
        <v>5013</v>
      </c>
      <c r="AJ349" s="186">
        <v>40000</v>
      </c>
      <c r="AK349" s="147">
        <v>0</v>
      </c>
      <c r="AL349" s="147">
        <f t="shared" si="93"/>
        <v>469</v>
      </c>
      <c r="AM349" s="147">
        <f t="shared" si="94"/>
        <v>18760000</v>
      </c>
      <c r="AN349" s="147"/>
    </row>
    <row r="350" spans="17:46" ht="30">
      <c r="Q350" s="97" t="s">
        <v>4925</v>
      </c>
      <c r="R350" s="93">
        <v>6489257</v>
      </c>
      <c r="T350" s="19" t="s">
        <v>5527</v>
      </c>
      <c r="U350" s="19">
        <v>13738</v>
      </c>
      <c r="V350" s="115">
        <v>1455.82</v>
      </c>
      <c r="W350" s="115">
        <f t="shared" si="84"/>
        <v>20000055.16</v>
      </c>
      <c r="X350" s="276" t="s">
        <v>5547</v>
      </c>
      <c r="Y350" t="s">
        <v>25</v>
      </c>
      <c r="AH350" s="20">
        <v>84</v>
      </c>
      <c r="AI350" s="20" t="s">
        <v>5013</v>
      </c>
      <c r="AJ350" s="115">
        <v>40000</v>
      </c>
      <c r="AK350" s="20">
        <v>5</v>
      </c>
      <c r="AL350" s="20">
        <f t="shared" si="93"/>
        <v>469</v>
      </c>
      <c r="AM350" s="20">
        <f t="shared" si="94"/>
        <v>18760000</v>
      </c>
      <c r="AN350" s="20"/>
    </row>
    <row r="351" spans="17:46">
      <c r="Q351" s="97" t="s">
        <v>4961</v>
      </c>
      <c r="R351" s="93">
        <v>618000</v>
      </c>
      <c r="T351" s="19" t="s">
        <v>5557</v>
      </c>
      <c r="U351" s="19">
        <v>3100</v>
      </c>
      <c r="V351" s="115">
        <v>1853.4507470000001</v>
      </c>
      <c r="W351" s="115">
        <f t="shared" si="84"/>
        <v>5745697.3157000002</v>
      </c>
      <c r="X351" s="276" t="s">
        <v>5141</v>
      </c>
      <c r="AH351" s="20">
        <v>85</v>
      </c>
      <c r="AI351" s="20" t="s">
        <v>5022</v>
      </c>
      <c r="AJ351" s="115">
        <v>200000</v>
      </c>
      <c r="AK351" s="20">
        <v>1</v>
      </c>
      <c r="AL351" s="20">
        <f t="shared" si="93"/>
        <v>464</v>
      </c>
      <c r="AM351" s="20">
        <f t="shared" si="94"/>
        <v>92800000</v>
      </c>
      <c r="AN351" s="20"/>
    </row>
    <row r="352" spans="17:46">
      <c r="Q352" s="97" t="s">
        <v>4972</v>
      </c>
      <c r="R352" s="93">
        <v>20105000</v>
      </c>
      <c r="T352" s="19" t="s">
        <v>5558</v>
      </c>
      <c r="U352" s="19">
        <v>480</v>
      </c>
      <c r="V352" s="115">
        <v>1891.9962069999999</v>
      </c>
      <c r="W352" s="115">
        <f t="shared" si="84"/>
        <v>908158.17935999995</v>
      </c>
      <c r="X352" s="276" t="s">
        <v>5141</v>
      </c>
      <c r="Y352" t="s">
        <v>25</v>
      </c>
      <c r="AH352" s="20">
        <v>86</v>
      </c>
      <c r="AI352" s="20" t="s">
        <v>5026</v>
      </c>
      <c r="AJ352" s="115">
        <v>500000</v>
      </c>
      <c r="AK352" s="20">
        <v>2</v>
      </c>
      <c r="AL352" s="20">
        <f t="shared" ref="AL352:AL381" si="95">AK352+AL353</f>
        <v>463</v>
      </c>
      <c r="AM352" s="20">
        <f t="shared" ref="AM352:AM381" si="96">AJ352*AL352</f>
        <v>231500000</v>
      </c>
      <c r="AN352" s="20"/>
    </row>
    <row r="353" spans="17:45">
      <c r="Q353" s="97" t="s">
        <v>4976</v>
      </c>
      <c r="R353" s="93">
        <v>-21079990</v>
      </c>
      <c r="T353" s="19" t="s">
        <v>5559</v>
      </c>
      <c r="U353" s="19">
        <v>6522</v>
      </c>
      <c r="V353" s="115">
        <v>1938.4694340000001</v>
      </c>
      <c r="W353" s="115">
        <f t="shared" si="84"/>
        <v>12642697.648548001</v>
      </c>
      <c r="X353" s="276" t="s">
        <v>5141</v>
      </c>
      <c r="AH353" s="20">
        <v>87</v>
      </c>
      <c r="AI353" s="20" t="s">
        <v>5028</v>
      </c>
      <c r="AJ353" s="115">
        <v>500000</v>
      </c>
      <c r="AK353" s="20">
        <v>3</v>
      </c>
      <c r="AL353" s="20">
        <f t="shared" si="95"/>
        <v>461</v>
      </c>
      <c r="AM353" s="20">
        <f t="shared" si="96"/>
        <v>230500000</v>
      </c>
      <c r="AN353" s="20"/>
    </row>
    <row r="354" spans="17:45">
      <c r="Q354" s="97" t="s">
        <v>4977</v>
      </c>
      <c r="R354" s="93">
        <v>-5949277</v>
      </c>
      <c r="T354" s="19" t="s">
        <v>5560</v>
      </c>
      <c r="U354" s="19">
        <v>6197</v>
      </c>
      <c r="V354" s="115">
        <v>1984.3985499999999</v>
      </c>
      <c r="W354" s="115">
        <f t="shared" si="84"/>
        <v>12297317.81435</v>
      </c>
      <c r="X354" s="276" t="s">
        <v>5141</v>
      </c>
      <c r="AH354" s="20">
        <v>88</v>
      </c>
      <c r="AI354" s="20" t="s">
        <v>5018</v>
      </c>
      <c r="AJ354" s="115">
        <v>250000</v>
      </c>
      <c r="AK354" s="20">
        <v>0</v>
      </c>
      <c r="AL354" s="20">
        <f t="shared" si="95"/>
        <v>458</v>
      </c>
      <c r="AM354" s="20">
        <f t="shared" si="96"/>
        <v>114500000</v>
      </c>
      <c r="AN354" s="20"/>
    </row>
    <row r="355" spans="17:45">
      <c r="Q355" s="97" t="s">
        <v>4983</v>
      </c>
      <c r="R355" s="93">
        <v>-15370656</v>
      </c>
      <c r="T355" s="19" t="s">
        <v>5561</v>
      </c>
      <c r="U355" s="19">
        <v>4646</v>
      </c>
      <c r="V355" s="115">
        <v>1928.464023</v>
      </c>
      <c r="W355" s="115">
        <f t="shared" si="84"/>
        <v>8959643.8508579992</v>
      </c>
      <c r="X355" s="276" t="s">
        <v>5141</v>
      </c>
      <c r="Y355" t="s">
        <v>25</v>
      </c>
      <c r="AH355" s="252">
        <v>89</v>
      </c>
      <c r="AI355" s="252" t="s">
        <v>5018</v>
      </c>
      <c r="AJ355" s="243">
        <v>245000</v>
      </c>
      <c r="AK355" s="252">
        <v>16</v>
      </c>
      <c r="AL355" s="252">
        <f t="shared" si="95"/>
        <v>458</v>
      </c>
      <c r="AM355" s="252">
        <f t="shared" si="96"/>
        <v>112210000</v>
      </c>
      <c r="AN355" s="252"/>
    </row>
    <row r="356" spans="17:45">
      <c r="Q356" s="97" t="s">
        <v>4989</v>
      </c>
      <c r="R356" s="93">
        <v>4960000</v>
      </c>
      <c r="T356" s="19" t="s">
        <v>5562</v>
      </c>
      <c r="U356" s="19">
        <v>7668</v>
      </c>
      <c r="V356" s="115">
        <v>1976.2774959999999</v>
      </c>
      <c r="W356" s="115">
        <f t="shared" si="84"/>
        <v>15154095.839328</v>
      </c>
      <c r="X356" s="276" t="s">
        <v>5141</v>
      </c>
      <c r="Y356" t="s">
        <v>25</v>
      </c>
      <c r="AH356" s="20">
        <v>90</v>
      </c>
      <c r="AI356" s="20" t="s">
        <v>5054</v>
      </c>
      <c r="AJ356" s="115">
        <v>312598</v>
      </c>
      <c r="AK356" s="20">
        <v>0</v>
      </c>
      <c r="AL356" s="20">
        <f t="shared" si="95"/>
        <v>442</v>
      </c>
      <c r="AM356" s="20">
        <f t="shared" si="96"/>
        <v>138168316</v>
      </c>
      <c r="AN356" s="20"/>
    </row>
    <row r="357" spans="17:45" ht="30">
      <c r="Q357" s="97" t="s">
        <v>4989</v>
      </c>
      <c r="R357" s="93">
        <v>10000000</v>
      </c>
      <c r="S357" s="112"/>
      <c r="T357" s="19" t="s">
        <v>5573</v>
      </c>
      <c r="U357" s="19">
        <v>-43325</v>
      </c>
      <c r="V357" s="115">
        <v>2146.5548840000001</v>
      </c>
      <c r="W357" s="115">
        <f t="shared" si="84"/>
        <v>-92999490.349300012</v>
      </c>
      <c r="X357" s="276" t="s">
        <v>5574</v>
      </c>
      <c r="AH357" s="20">
        <v>91</v>
      </c>
      <c r="AI357" s="20" t="s">
        <v>5054</v>
      </c>
      <c r="AJ357" s="115">
        <v>780000</v>
      </c>
      <c r="AK357" s="20">
        <v>0</v>
      </c>
      <c r="AL357" s="20">
        <f t="shared" si="95"/>
        <v>442</v>
      </c>
      <c r="AM357" s="20">
        <f t="shared" si="96"/>
        <v>344760000</v>
      </c>
      <c r="AN357" s="20"/>
    </row>
    <row r="358" spans="17:45" ht="18" customHeight="1">
      <c r="Q358" s="97" t="s">
        <v>4996</v>
      </c>
      <c r="R358" s="93">
        <v>-40570100</v>
      </c>
      <c r="T358" s="187" t="s">
        <v>5573</v>
      </c>
      <c r="U358" s="187">
        <v>-589</v>
      </c>
      <c r="V358" s="186">
        <v>2146.5548840000001</v>
      </c>
      <c r="W358" s="186">
        <f t="shared" si="84"/>
        <v>-1264320.8266760001</v>
      </c>
      <c r="X358" s="275" t="s">
        <v>5579</v>
      </c>
      <c r="AH358" s="193">
        <v>92</v>
      </c>
      <c r="AI358" s="193" t="s">
        <v>5054</v>
      </c>
      <c r="AJ358" s="194">
        <v>-300000</v>
      </c>
      <c r="AK358" s="193">
        <v>1</v>
      </c>
      <c r="AL358" s="193">
        <f t="shared" si="95"/>
        <v>442</v>
      </c>
      <c r="AM358" s="193">
        <f t="shared" si="96"/>
        <v>-132600000</v>
      </c>
      <c r="AN358" s="193"/>
      <c r="AS358" t="s">
        <v>25</v>
      </c>
    </row>
    <row r="359" spans="17:45" ht="21" customHeight="1">
      <c r="Q359" s="97" t="s">
        <v>5005</v>
      </c>
      <c r="R359" s="93">
        <v>1000000</v>
      </c>
      <c r="T359" s="19" t="s">
        <v>5583</v>
      </c>
      <c r="U359" s="19">
        <v>20888</v>
      </c>
      <c r="V359" s="115">
        <v>2428.4521530000002</v>
      </c>
      <c r="W359" s="115">
        <f t="shared" si="84"/>
        <v>50725508.571864001</v>
      </c>
      <c r="X359" s="276" t="s">
        <v>5141</v>
      </c>
      <c r="Y359" t="s">
        <v>25</v>
      </c>
      <c r="AH359" s="20">
        <v>93</v>
      </c>
      <c r="AI359" s="20" t="s">
        <v>5019</v>
      </c>
      <c r="AJ359" s="115">
        <v>300000</v>
      </c>
      <c r="AK359" s="20">
        <v>0</v>
      </c>
      <c r="AL359" s="20">
        <f t="shared" si="95"/>
        <v>441</v>
      </c>
      <c r="AM359" s="20">
        <f t="shared" si="96"/>
        <v>132300000</v>
      </c>
      <c r="AN359" s="20"/>
    </row>
    <row r="360" spans="17:45">
      <c r="Q360" s="97" t="s">
        <v>5006</v>
      </c>
      <c r="R360" s="93">
        <v>400000</v>
      </c>
      <c r="T360" s="19" t="s">
        <v>5585</v>
      </c>
      <c r="U360" s="19">
        <v>21663</v>
      </c>
      <c r="V360" s="115">
        <v>2308.0067819999999</v>
      </c>
      <c r="W360" s="115">
        <f t="shared" si="84"/>
        <v>49998350.918466002</v>
      </c>
      <c r="X360" s="276" t="s">
        <v>5588</v>
      </c>
      <c r="AH360" s="20">
        <v>94</v>
      </c>
      <c r="AI360" s="20" t="s">
        <v>5019</v>
      </c>
      <c r="AJ360" s="115">
        <v>8660000</v>
      </c>
      <c r="AK360" s="20">
        <v>8</v>
      </c>
      <c r="AL360" s="20">
        <f t="shared" si="95"/>
        <v>441</v>
      </c>
      <c r="AM360" s="20">
        <f t="shared" si="96"/>
        <v>3819060000</v>
      </c>
      <c r="AN360" s="20"/>
    </row>
    <row r="361" spans="17:45">
      <c r="Q361" s="97" t="s">
        <v>5013</v>
      </c>
      <c r="R361" s="93">
        <v>120000</v>
      </c>
      <c r="T361" s="19" t="s">
        <v>5585</v>
      </c>
      <c r="U361" s="19">
        <v>977</v>
      </c>
      <c r="V361" s="115">
        <v>2335.6821479999999</v>
      </c>
      <c r="W361" s="115">
        <f t="shared" si="84"/>
        <v>2281961.458596</v>
      </c>
      <c r="X361" s="276" t="s">
        <v>5141</v>
      </c>
      <c r="AH361" s="147">
        <v>95</v>
      </c>
      <c r="AI361" s="147" t="s">
        <v>5071</v>
      </c>
      <c r="AJ361" s="186">
        <v>200000</v>
      </c>
      <c r="AK361" s="147">
        <v>3</v>
      </c>
      <c r="AL361" s="147">
        <f t="shared" si="95"/>
        <v>433</v>
      </c>
      <c r="AM361" s="147">
        <f t="shared" si="96"/>
        <v>86600000</v>
      </c>
      <c r="AN361" s="147"/>
    </row>
    <row r="362" spans="17:45" ht="18.75" customHeight="1">
      <c r="Q362" s="97" t="s">
        <v>5028</v>
      </c>
      <c r="R362" s="93">
        <v>500000</v>
      </c>
      <c r="T362" s="19" t="s">
        <v>5592</v>
      </c>
      <c r="U362" s="19">
        <v>4155</v>
      </c>
      <c r="V362" s="115">
        <v>2647</v>
      </c>
      <c r="W362" s="115">
        <f t="shared" si="84"/>
        <v>10998285</v>
      </c>
      <c r="X362" s="276" t="s">
        <v>5141</v>
      </c>
      <c r="AH362" s="147">
        <v>96</v>
      </c>
      <c r="AI362" s="147" t="s">
        <v>5074</v>
      </c>
      <c r="AJ362" s="186">
        <v>20000</v>
      </c>
      <c r="AK362" s="147">
        <v>1</v>
      </c>
      <c r="AL362" s="147">
        <f t="shared" si="95"/>
        <v>430</v>
      </c>
      <c r="AM362" s="147">
        <f t="shared" si="96"/>
        <v>8600000</v>
      </c>
      <c r="AN362" s="147"/>
    </row>
    <row r="363" spans="17:45">
      <c r="Q363" s="97" t="s">
        <v>5018</v>
      </c>
      <c r="R363" s="93">
        <v>744000</v>
      </c>
      <c r="T363" s="19" t="s">
        <v>5593</v>
      </c>
      <c r="U363" s="19">
        <v>351</v>
      </c>
      <c r="V363" s="115">
        <v>2800.6238229999999</v>
      </c>
      <c r="W363" s="115">
        <f t="shared" si="84"/>
        <v>983018.96187300002</v>
      </c>
      <c r="X363" s="276" t="s">
        <v>5141</v>
      </c>
      <c r="AH363" s="20">
        <v>97</v>
      </c>
      <c r="AI363" s="20" t="s">
        <v>5084</v>
      </c>
      <c r="AJ363" s="115">
        <v>14340000</v>
      </c>
      <c r="AK363" s="20">
        <v>7</v>
      </c>
      <c r="AL363" s="20">
        <f t="shared" si="95"/>
        <v>429</v>
      </c>
      <c r="AM363" s="20">
        <f t="shared" si="96"/>
        <v>6151860000</v>
      </c>
      <c r="AN363" s="20"/>
    </row>
    <row r="364" spans="17:45">
      <c r="Q364" s="97" t="s">
        <v>5044</v>
      </c>
      <c r="R364" s="93">
        <v>65000</v>
      </c>
      <c r="T364" s="19" t="s">
        <v>5595</v>
      </c>
      <c r="U364" s="19">
        <v>5877</v>
      </c>
      <c r="V364" s="115">
        <v>2901.0160000000001</v>
      </c>
      <c r="W364" s="115">
        <f t="shared" si="84"/>
        <v>17049271.032000002</v>
      </c>
      <c r="X364" s="276" t="s">
        <v>5141</v>
      </c>
      <c r="AB364" t="s">
        <v>25</v>
      </c>
      <c r="AH364" s="20">
        <v>98</v>
      </c>
      <c r="AI364" s="20" t="s">
        <v>5092</v>
      </c>
      <c r="AJ364" s="115">
        <v>10000000</v>
      </c>
      <c r="AK364" s="20">
        <v>6</v>
      </c>
      <c r="AL364" s="20">
        <f t="shared" si="95"/>
        <v>422</v>
      </c>
      <c r="AM364" s="20">
        <f t="shared" si="96"/>
        <v>4220000000</v>
      </c>
      <c r="AN364" s="20" t="s">
        <v>4690</v>
      </c>
    </row>
    <row r="365" spans="17:45">
      <c r="Q365" s="97" t="s">
        <v>5050</v>
      </c>
      <c r="R365" s="93">
        <v>-14053702</v>
      </c>
      <c r="T365" s="19" t="s">
        <v>5598</v>
      </c>
      <c r="U365" s="19">
        <v>2374</v>
      </c>
      <c r="V365" s="115">
        <v>2877</v>
      </c>
      <c r="W365" s="115">
        <f t="shared" ref="W365:W408" si="97">U365*V365</f>
        <v>6829998</v>
      </c>
      <c r="X365" s="276" t="s">
        <v>5141</v>
      </c>
      <c r="Y365" t="s">
        <v>25</v>
      </c>
      <c r="Z365" t="s">
        <v>25</v>
      </c>
      <c r="AH365" s="20">
        <v>99</v>
      </c>
      <c r="AI365" s="20" t="s">
        <v>5097</v>
      </c>
      <c r="AJ365" s="115">
        <v>4033949</v>
      </c>
      <c r="AK365" s="20">
        <v>2</v>
      </c>
      <c r="AL365" s="20">
        <f t="shared" si="95"/>
        <v>416</v>
      </c>
      <c r="AM365" s="20">
        <f t="shared" si="96"/>
        <v>1678122784</v>
      </c>
      <c r="AN365" s="20" t="s">
        <v>5099</v>
      </c>
    </row>
    <row r="366" spans="17:45">
      <c r="Q366" s="97" t="s">
        <v>5019</v>
      </c>
      <c r="R366" s="93">
        <v>3555678</v>
      </c>
      <c r="S366" t="s">
        <v>25</v>
      </c>
      <c r="T366" s="19" t="s">
        <v>4213</v>
      </c>
      <c r="U366" s="19">
        <v>2532</v>
      </c>
      <c r="V366" s="115">
        <v>2757.7444</v>
      </c>
      <c r="W366" s="115">
        <f t="shared" si="97"/>
        <v>6982608.8207999999</v>
      </c>
      <c r="X366" s="276" t="s">
        <v>5141</v>
      </c>
      <c r="AH366" s="147">
        <v>100</v>
      </c>
      <c r="AI366" s="147" t="s">
        <v>5103</v>
      </c>
      <c r="AJ366" s="186">
        <v>11500000</v>
      </c>
      <c r="AK366" s="147">
        <v>2</v>
      </c>
      <c r="AL366" s="147">
        <f t="shared" si="95"/>
        <v>414</v>
      </c>
      <c r="AM366" s="147">
        <f t="shared" si="96"/>
        <v>4761000000</v>
      </c>
      <c r="AN366" s="147" t="s">
        <v>5105</v>
      </c>
    </row>
    <row r="367" spans="17:45">
      <c r="Q367" s="97" t="s">
        <v>5086</v>
      </c>
      <c r="R367" s="93">
        <v>3495</v>
      </c>
      <c r="T367" s="19" t="s">
        <v>4213</v>
      </c>
      <c r="U367" s="19">
        <v>4987</v>
      </c>
      <c r="V367" s="115">
        <v>2757.7444</v>
      </c>
      <c r="W367" s="115">
        <f t="shared" si="97"/>
        <v>13752871.322800001</v>
      </c>
      <c r="X367" s="276" t="s">
        <v>5615</v>
      </c>
      <c r="Y367" t="s">
        <v>25</v>
      </c>
      <c r="AH367" s="147">
        <v>101</v>
      </c>
      <c r="AI367" s="147" t="s">
        <v>5109</v>
      </c>
      <c r="AJ367" s="186">
        <v>250000</v>
      </c>
      <c r="AK367" s="147">
        <v>3</v>
      </c>
      <c r="AL367" s="147">
        <f t="shared" si="95"/>
        <v>412</v>
      </c>
      <c r="AM367" s="147">
        <f t="shared" si="96"/>
        <v>103000000</v>
      </c>
      <c r="AN367" s="147"/>
    </row>
    <row r="368" spans="17:45">
      <c r="Q368" s="97" t="s">
        <v>5092</v>
      </c>
      <c r="R368" s="93">
        <v>6000000</v>
      </c>
      <c r="T368" s="19" t="s">
        <v>4213</v>
      </c>
      <c r="U368" s="19">
        <v>997</v>
      </c>
      <c r="V368" s="115">
        <v>2757.7444</v>
      </c>
      <c r="W368" s="115">
        <f t="shared" si="97"/>
        <v>2749471.1668000002</v>
      </c>
      <c r="X368" s="276" t="s">
        <v>5616</v>
      </c>
      <c r="Y368" t="s">
        <v>25</v>
      </c>
      <c r="Z368" t="s">
        <v>25</v>
      </c>
      <c r="AH368" s="147">
        <v>102</v>
      </c>
      <c r="AI368" s="147" t="s">
        <v>5134</v>
      </c>
      <c r="AJ368" s="186">
        <v>6000000</v>
      </c>
      <c r="AK368" s="147">
        <v>1</v>
      </c>
      <c r="AL368" s="147">
        <f t="shared" si="95"/>
        <v>409</v>
      </c>
      <c r="AM368" s="147">
        <f t="shared" si="96"/>
        <v>2454000000</v>
      </c>
      <c r="AN368" s="147" t="s">
        <v>5105</v>
      </c>
    </row>
    <row r="369" spans="16:45" ht="30">
      <c r="Q369" s="97" t="s">
        <v>5094</v>
      </c>
      <c r="R369" s="93">
        <v>17220</v>
      </c>
      <c r="T369" s="187" t="s">
        <v>5619</v>
      </c>
      <c r="U369" s="187">
        <v>-18</v>
      </c>
      <c r="V369" s="186">
        <v>2675</v>
      </c>
      <c r="W369" s="186">
        <f t="shared" si="97"/>
        <v>-48150</v>
      </c>
      <c r="X369" s="275" t="s">
        <v>5620</v>
      </c>
      <c r="AH369" s="147">
        <v>103</v>
      </c>
      <c r="AI369" s="147" t="s">
        <v>5136</v>
      </c>
      <c r="AJ369" s="186">
        <v>1500000</v>
      </c>
      <c r="AK369" s="147">
        <v>6</v>
      </c>
      <c r="AL369" s="147">
        <f t="shared" si="95"/>
        <v>408</v>
      </c>
      <c r="AM369" s="147">
        <f t="shared" si="96"/>
        <v>612000000</v>
      </c>
      <c r="AN369" s="147" t="s">
        <v>5105</v>
      </c>
    </row>
    <row r="370" spans="16:45">
      <c r="Q370" s="97" t="s">
        <v>5095</v>
      </c>
      <c r="R370" s="93">
        <v>8249</v>
      </c>
      <c r="T370" s="19" t="s">
        <v>5622</v>
      </c>
      <c r="U370" s="19">
        <v>2874</v>
      </c>
      <c r="V370" s="115">
        <v>2613.1284000000001</v>
      </c>
      <c r="W370" s="115">
        <f t="shared" si="97"/>
        <v>7510131.0216000006</v>
      </c>
      <c r="X370" s="276" t="s">
        <v>5141</v>
      </c>
      <c r="AH370" s="20">
        <v>104</v>
      </c>
      <c r="AI370" s="20" t="s">
        <v>960</v>
      </c>
      <c r="AJ370" s="115">
        <v>-3960043</v>
      </c>
      <c r="AK370" s="20">
        <v>2</v>
      </c>
      <c r="AL370" s="20">
        <f t="shared" si="95"/>
        <v>402</v>
      </c>
      <c r="AM370" s="20">
        <f t="shared" si="96"/>
        <v>-1591937286</v>
      </c>
      <c r="AN370" s="20"/>
    </row>
    <row r="371" spans="16:45">
      <c r="Q371" s="97" t="s">
        <v>5097</v>
      </c>
      <c r="R371" s="93">
        <v>6937</v>
      </c>
      <c r="T371" s="19" t="s">
        <v>5629</v>
      </c>
      <c r="U371" s="19">
        <v>2847</v>
      </c>
      <c r="V371" s="115">
        <v>2556.3841000000002</v>
      </c>
      <c r="W371" s="115">
        <f t="shared" si="97"/>
        <v>7278025.5327000003</v>
      </c>
      <c r="X371" s="276" t="s">
        <v>5141</v>
      </c>
      <c r="AH371" s="20">
        <v>105</v>
      </c>
      <c r="AI371" s="20" t="s">
        <v>5155</v>
      </c>
      <c r="AJ371" s="115">
        <v>230000</v>
      </c>
      <c r="AK371" s="20">
        <v>0</v>
      </c>
      <c r="AL371" s="20">
        <f t="shared" si="95"/>
        <v>400</v>
      </c>
      <c r="AM371" s="20">
        <f t="shared" si="96"/>
        <v>92000000</v>
      </c>
      <c r="AN371" s="20"/>
    </row>
    <row r="372" spans="16:45">
      <c r="Q372" s="97" t="s">
        <v>5097</v>
      </c>
      <c r="R372" s="93">
        <v>4046552</v>
      </c>
      <c r="T372" s="19" t="s">
        <v>5629</v>
      </c>
      <c r="U372" s="19">
        <v>1222</v>
      </c>
      <c r="V372" s="115">
        <v>2556.3841000000002</v>
      </c>
      <c r="W372" s="115">
        <f t="shared" si="97"/>
        <v>3123901.3702000002</v>
      </c>
      <c r="X372" s="276" t="s">
        <v>5630</v>
      </c>
      <c r="AH372" s="147">
        <v>106</v>
      </c>
      <c r="AI372" s="147" t="s">
        <v>5155</v>
      </c>
      <c r="AJ372" s="186">
        <v>230000</v>
      </c>
      <c r="AK372" s="147">
        <v>1</v>
      </c>
      <c r="AL372" s="147">
        <f t="shared" si="95"/>
        <v>400</v>
      </c>
      <c r="AM372" s="147">
        <f t="shared" si="96"/>
        <v>92000000</v>
      </c>
      <c r="AN372" s="147"/>
      <c r="AR372" t="s">
        <v>25</v>
      </c>
    </row>
    <row r="373" spans="16:45">
      <c r="Q373" s="97" t="s">
        <v>5100</v>
      </c>
      <c r="R373" s="93">
        <v>-3884943</v>
      </c>
      <c r="T373" s="19" t="s">
        <v>5638</v>
      </c>
      <c r="U373" s="19">
        <v>73</v>
      </c>
      <c r="V373" s="115">
        <v>2672.0459999999998</v>
      </c>
      <c r="W373" s="115">
        <f t="shared" si="97"/>
        <v>195059.35799999998</v>
      </c>
      <c r="X373" s="276" t="s">
        <v>5141</v>
      </c>
      <c r="AH373" s="147">
        <v>107</v>
      </c>
      <c r="AI373" s="147" t="s">
        <v>5156</v>
      </c>
      <c r="AJ373" s="186">
        <v>500000</v>
      </c>
      <c r="AK373" s="147">
        <v>1</v>
      </c>
      <c r="AL373" s="147">
        <f t="shared" si="95"/>
        <v>399</v>
      </c>
      <c r="AM373" s="147">
        <f t="shared" si="96"/>
        <v>199500000</v>
      </c>
      <c r="AN373" s="147"/>
    </row>
    <row r="374" spans="16:45" ht="30">
      <c r="Q374" s="97" t="s">
        <v>5109</v>
      </c>
      <c r="R374" s="93">
        <v>6022</v>
      </c>
      <c r="T374" s="187" t="s">
        <v>5643</v>
      </c>
      <c r="U374" s="187">
        <v>-19</v>
      </c>
      <c r="V374" s="186">
        <v>2598.1260000000002</v>
      </c>
      <c r="W374" s="186">
        <f t="shared" si="97"/>
        <v>-49364.394</v>
      </c>
      <c r="X374" s="275" t="s">
        <v>5620</v>
      </c>
      <c r="AH374" s="20">
        <v>108</v>
      </c>
      <c r="AI374" s="20" t="s">
        <v>5159</v>
      </c>
      <c r="AJ374" s="115">
        <v>-880000</v>
      </c>
      <c r="AK374" s="20">
        <v>4</v>
      </c>
      <c r="AL374" s="20">
        <f t="shared" si="95"/>
        <v>398</v>
      </c>
      <c r="AM374" s="20">
        <f t="shared" si="96"/>
        <v>-350240000</v>
      </c>
      <c r="AN374" s="20"/>
      <c r="AS374" t="s">
        <v>25</v>
      </c>
    </row>
    <row r="375" spans="16:45" ht="30">
      <c r="Q375" s="97" t="s">
        <v>5136</v>
      </c>
      <c r="R375" s="93">
        <v>400000</v>
      </c>
      <c r="T375" s="19" t="s">
        <v>5643</v>
      </c>
      <c r="U375" s="19">
        <v>332</v>
      </c>
      <c r="V375" s="115">
        <v>2598.1260000000002</v>
      </c>
      <c r="W375" s="115">
        <f t="shared" si="97"/>
        <v>862577.83200000005</v>
      </c>
      <c r="X375" s="276" t="s">
        <v>5644</v>
      </c>
      <c r="AH375" s="193">
        <v>109</v>
      </c>
      <c r="AI375" s="193" t="s">
        <v>5163</v>
      </c>
      <c r="AJ375" s="194">
        <v>873000</v>
      </c>
      <c r="AK375" s="193">
        <v>0</v>
      </c>
      <c r="AL375" s="193">
        <f t="shared" si="95"/>
        <v>394</v>
      </c>
      <c r="AM375" s="193">
        <f t="shared" si="96"/>
        <v>343962000</v>
      </c>
      <c r="AN375" s="193" t="s">
        <v>5105</v>
      </c>
    </row>
    <row r="376" spans="16:45">
      <c r="Q376" s="97" t="s">
        <v>5140</v>
      </c>
      <c r="R376" s="93">
        <v>92847</v>
      </c>
      <c r="T376" s="19" t="s">
        <v>5645</v>
      </c>
      <c r="U376" s="19">
        <v>346</v>
      </c>
      <c r="V376" s="115">
        <v>2659.8510000000001</v>
      </c>
      <c r="W376" s="115">
        <f t="shared" si="97"/>
        <v>920308.446</v>
      </c>
      <c r="X376" s="276" t="s">
        <v>5141</v>
      </c>
      <c r="AH376" s="20">
        <v>110</v>
      </c>
      <c r="AI376" s="20" t="s">
        <v>5163</v>
      </c>
      <c r="AJ376" s="115">
        <v>127000</v>
      </c>
      <c r="AK376" s="20">
        <v>0</v>
      </c>
      <c r="AL376" s="20">
        <f t="shared" si="95"/>
        <v>394</v>
      </c>
      <c r="AM376" s="20">
        <f t="shared" si="96"/>
        <v>50038000</v>
      </c>
      <c r="AN376" s="20" t="s">
        <v>5105</v>
      </c>
    </row>
    <row r="377" spans="16:45">
      <c r="Q377" s="97" t="s">
        <v>5140</v>
      </c>
      <c r="R377" s="93">
        <v>-100000</v>
      </c>
      <c r="T377" s="19" t="s">
        <v>5646</v>
      </c>
      <c r="U377" s="19">
        <v>1722</v>
      </c>
      <c r="V377" s="115">
        <v>2692.1079220000001</v>
      </c>
      <c r="W377" s="115">
        <f t="shared" si="97"/>
        <v>4635809.8416840006</v>
      </c>
      <c r="X377" s="276" t="s">
        <v>5141</v>
      </c>
      <c r="AH377" s="20">
        <v>111</v>
      </c>
      <c r="AI377" s="20" t="s">
        <v>5163</v>
      </c>
      <c r="AJ377" s="115">
        <v>73000</v>
      </c>
      <c r="AK377" s="20">
        <v>1</v>
      </c>
      <c r="AL377" s="20">
        <f t="shared" si="95"/>
        <v>394</v>
      </c>
      <c r="AM377" s="20">
        <f t="shared" si="96"/>
        <v>28762000</v>
      </c>
      <c r="AN377" s="20"/>
      <c r="AR377" t="s">
        <v>25</v>
      </c>
    </row>
    <row r="378" spans="16:45" ht="30">
      <c r="Q378" s="97" t="s">
        <v>5144</v>
      </c>
      <c r="R378" s="93">
        <v>10000000</v>
      </c>
      <c r="T378" s="187" t="s">
        <v>5649</v>
      </c>
      <c r="U378" s="187">
        <v>-44</v>
      </c>
      <c r="V378" s="186">
        <v>2725.4</v>
      </c>
      <c r="W378" s="186">
        <f t="shared" si="97"/>
        <v>-119917.6</v>
      </c>
      <c r="X378" s="275" t="s">
        <v>5620</v>
      </c>
      <c r="AH378" s="20">
        <v>112</v>
      </c>
      <c r="AI378" s="20" t="s">
        <v>977</v>
      </c>
      <c r="AJ378" s="115">
        <v>4300000</v>
      </c>
      <c r="AK378" s="20">
        <v>1</v>
      </c>
      <c r="AL378" s="20">
        <f t="shared" si="95"/>
        <v>393</v>
      </c>
      <c r="AM378" s="20">
        <f t="shared" si="96"/>
        <v>1689900000</v>
      </c>
      <c r="AN378" s="20"/>
    </row>
    <row r="379" spans="16:45">
      <c r="Q379" s="97" t="s">
        <v>5149</v>
      </c>
      <c r="R379" s="93">
        <v>-400000</v>
      </c>
      <c r="T379" s="19" t="s">
        <v>5649</v>
      </c>
      <c r="U379" s="19">
        <v>106</v>
      </c>
      <c r="V379" s="115">
        <v>2725.4</v>
      </c>
      <c r="W379" s="115">
        <f t="shared" si="97"/>
        <v>288892.40000000002</v>
      </c>
      <c r="X379" s="276" t="s">
        <v>452</v>
      </c>
      <c r="AH379" s="20">
        <v>113</v>
      </c>
      <c r="AI379" s="20" t="s">
        <v>5032</v>
      </c>
      <c r="AJ379" s="115">
        <v>1600000</v>
      </c>
      <c r="AK379" s="20">
        <v>0</v>
      </c>
      <c r="AL379" s="20">
        <f t="shared" si="95"/>
        <v>392</v>
      </c>
      <c r="AM379" s="20">
        <f t="shared" si="96"/>
        <v>627200000</v>
      </c>
      <c r="AN379" s="20"/>
    </row>
    <row r="380" spans="16:45" ht="30">
      <c r="Q380" s="97" t="s">
        <v>5153</v>
      </c>
      <c r="R380" s="93">
        <v>5649</v>
      </c>
      <c r="T380" s="187" t="s">
        <v>5637</v>
      </c>
      <c r="U380" s="187">
        <v>-55</v>
      </c>
      <c r="V380" s="186">
        <v>2730.81</v>
      </c>
      <c r="W380" s="186">
        <f t="shared" si="97"/>
        <v>-150194.54999999999</v>
      </c>
      <c r="X380" s="275" t="s">
        <v>5620</v>
      </c>
      <c r="AH380" s="20">
        <v>114</v>
      </c>
      <c r="AI380" s="20" t="s">
        <v>4257</v>
      </c>
      <c r="AJ380" s="115">
        <v>-10000000</v>
      </c>
      <c r="AK380" s="20">
        <v>1</v>
      </c>
      <c r="AL380" s="20">
        <f t="shared" si="95"/>
        <v>392</v>
      </c>
      <c r="AM380" s="20">
        <f t="shared" si="96"/>
        <v>-3920000000</v>
      </c>
      <c r="AN380" s="20" t="s">
        <v>5170</v>
      </c>
    </row>
    <row r="381" spans="16:45" ht="30">
      <c r="Q381" s="97" t="s">
        <v>5155</v>
      </c>
      <c r="R381" s="93">
        <v>460000</v>
      </c>
      <c r="T381" s="187" t="s">
        <v>5663</v>
      </c>
      <c r="U381" s="187">
        <v>-66</v>
      </c>
      <c r="V381" s="186">
        <v>3031</v>
      </c>
      <c r="W381" s="186">
        <f t="shared" si="97"/>
        <v>-200046</v>
      </c>
      <c r="X381" s="275" t="s">
        <v>5620</v>
      </c>
      <c r="AH381" s="20">
        <v>115</v>
      </c>
      <c r="AI381" s="20" t="s">
        <v>5169</v>
      </c>
      <c r="AJ381" s="115">
        <v>571000</v>
      </c>
      <c r="AK381" s="20">
        <v>4</v>
      </c>
      <c r="AL381" s="20">
        <f t="shared" si="95"/>
        <v>391</v>
      </c>
      <c r="AM381" s="20">
        <f t="shared" si="96"/>
        <v>223261000</v>
      </c>
      <c r="AN381" s="20"/>
      <c r="AP381" t="s">
        <v>25</v>
      </c>
    </row>
    <row r="382" spans="16:45" ht="30">
      <c r="Q382" s="97" t="s">
        <v>5156</v>
      </c>
      <c r="R382" s="93">
        <v>1300000</v>
      </c>
      <c r="S382" t="s">
        <v>25</v>
      </c>
      <c r="T382" s="187" t="s">
        <v>5668</v>
      </c>
      <c r="U382" s="187">
        <v>-42</v>
      </c>
      <c r="V382" s="186">
        <v>2883</v>
      </c>
      <c r="W382" s="186">
        <f t="shared" si="97"/>
        <v>-121086</v>
      </c>
      <c r="X382" s="275" t="s">
        <v>5620</v>
      </c>
      <c r="AH382" s="20">
        <v>116</v>
      </c>
      <c r="AI382" s="20" t="s">
        <v>5171</v>
      </c>
      <c r="AJ382" s="115">
        <v>200000</v>
      </c>
      <c r="AK382" s="20">
        <v>3</v>
      </c>
      <c r="AL382" s="20">
        <f t="shared" ref="AL382:AL393" si="98">AK382+AL383</f>
        <v>387</v>
      </c>
      <c r="AM382" s="20">
        <f t="shared" ref="AM382:AM393" si="99">AJ382*AL382</f>
        <v>77400000</v>
      </c>
      <c r="AN382" s="20"/>
    </row>
    <row r="383" spans="16:45">
      <c r="Q383" s="97" t="s">
        <v>5156</v>
      </c>
      <c r="R383" s="93">
        <v>7300000</v>
      </c>
      <c r="T383" s="19" t="s">
        <v>5681</v>
      </c>
      <c r="U383" s="19">
        <v>25901</v>
      </c>
      <c r="V383" s="115">
        <v>2258.9090000000001</v>
      </c>
      <c r="W383" s="115">
        <f t="shared" si="97"/>
        <v>58508002.009000003</v>
      </c>
      <c r="X383" s="276" t="s">
        <v>5141</v>
      </c>
      <c r="AH383" s="147">
        <v>117</v>
      </c>
      <c r="AI383" s="147" t="s">
        <v>5177</v>
      </c>
      <c r="AJ383" s="186">
        <v>50000</v>
      </c>
      <c r="AK383" s="147">
        <v>7</v>
      </c>
      <c r="AL383" s="147">
        <f t="shared" si="98"/>
        <v>384</v>
      </c>
      <c r="AM383" s="147">
        <f t="shared" si="99"/>
        <v>19200000</v>
      </c>
      <c r="AN383" s="147"/>
    </row>
    <row r="384" spans="16:45">
      <c r="P384" t="s">
        <v>25</v>
      </c>
      <c r="Q384" s="97" t="s">
        <v>977</v>
      </c>
      <c r="R384" s="93">
        <v>21203</v>
      </c>
      <c r="T384" s="19" t="s">
        <v>5683</v>
      </c>
      <c r="U384" s="19">
        <v>951</v>
      </c>
      <c r="V384" s="115">
        <v>2361.2150799999999</v>
      </c>
      <c r="W384" s="115">
        <f t="shared" si="97"/>
        <v>2245515.5410799999</v>
      </c>
      <c r="X384" s="276" t="s">
        <v>5141</v>
      </c>
      <c r="Z384" t="s">
        <v>25</v>
      </c>
      <c r="AH384" s="20">
        <v>118</v>
      </c>
      <c r="AI384" s="20" t="s">
        <v>5185</v>
      </c>
      <c r="AJ384" s="115">
        <v>-500000</v>
      </c>
      <c r="AK384" s="20">
        <v>12</v>
      </c>
      <c r="AL384" s="20">
        <f t="shared" si="98"/>
        <v>377</v>
      </c>
      <c r="AM384" s="20">
        <f t="shared" si="99"/>
        <v>-188500000</v>
      </c>
      <c r="AN384" s="20"/>
    </row>
    <row r="385" spans="17:45">
      <c r="Q385" s="97" t="s">
        <v>4257</v>
      </c>
      <c r="R385" s="93">
        <v>34550</v>
      </c>
      <c r="T385" s="19" t="s">
        <v>5685</v>
      </c>
      <c r="U385" s="19">
        <v>7622</v>
      </c>
      <c r="V385" s="115">
        <v>2414.6810999999998</v>
      </c>
      <c r="W385" s="115">
        <f t="shared" si="97"/>
        <v>18404699.3442</v>
      </c>
      <c r="X385" s="276" t="s">
        <v>5141</v>
      </c>
      <c r="AH385" s="147">
        <v>119</v>
      </c>
      <c r="AI385" s="147" t="s">
        <v>976</v>
      </c>
      <c r="AJ385" s="186">
        <v>-50000</v>
      </c>
      <c r="AK385" s="147">
        <v>0</v>
      </c>
      <c r="AL385" s="147">
        <f t="shared" si="98"/>
        <v>365</v>
      </c>
      <c r="AM385" s="147">
        <f t="shared" si="99"/>
        <v>-18250000</v>
      </c>
      <c r="AN385" s="147"/>
    </row>
    <row r="386" spans="17:45">
      <c r="Q386" s="97" t="s">
        <v>5154</v>
      </c>
      <c r="R386" s="93">
        <v>-2134406</v>
      </c>
      <c r="T386" s="19" t="s">
        <v>5685</v>
      </c>
      <c r="U386" s="19">
        <v>-282</v>
      </c>
      <c r="V386" s="115">
        <v>2414.6810999999998</v>
      </c>
      <c r="W386" s="115">
        <f t="shared" si="97"/>
        <v>-680940.07019999996</v>
      </c>
      <c r="X386" s="276" t="s">
        <v>5686</v>
      </c>
      <c r="AH386" s="20">
        <v>120</v>
      </c>
      <c r="AI386" s="20" t="s">
        <v>976</v>
      </c>
      <c r="AJ386" s="115">
        <v>-50000</v>
      </c>
      <c r="AK386" s="20">
        <v>28</v>
      </c>
      <c r="AL386" s="20">
        <f t="shared" si="98"/>
        <v>365</v>
      </c>
      <c r="AM386" s="20">
        <f t="shared" si="99"/>
        <v>-18250000</v>
      </c>
      <c r="AN386" s="20"/>
      <c r="AQ386" t="s">
        <v>25</v>
      </c>
    </row>
    <row r="387" spans="17:45">
      <c r="Q387" s="97" t="s">
        <v>5192</v>
      </c>
      <c r="R387" s="93">
        <v>-618906</v>
      </c>
      <c r="T387" s="19" t="s">
        <v>5685</v>
      </c>
      <c r="U387" s="19">
        <v>20162</v>
      </c>
      <c r="V387" s="115">
        <v>2414.6810999999998</v>
      </c>
      <c r="W387" s="115">
        <f t="shared" si="97"/>
        <v>48684800.338199995</v>
      </c>
      <c r="X387" s="276" t="s">
        <v>5687</v>
      </c>
      <c r="AF387" s="94" t="s">
        <v>25</v>
      </c>
      <c r="AH387" s="20">
        <v>121</v>
      </c>
      <c r="AI387" s="20" t="s">
        <v>5227</v>
      </c>
      <c r="AJ387" s="115">
        <v>-3020625</v>
      </c>
      <c r="AK387" s="20">
        <v>18</v>
      </c>
      <c r="AL387" s="20">
        <f t="shared" si="98"/>
        <v>337</v>
      </c>
      <c r="AM387" s="20">
        <f t="shared" si="99"/>
        <v>-1017950625</v>
      </c>
      <c r="AN387" s="20"/>
    </row>
    <row r="388" spans="17:45">
      <c r="Q388" s="97" t="s">
        <v>5195</v>
      </c>
      <c r="R388" s="93">
        <v>-54615</v>
      </c>
      <c r="T388" s="19" t="s">
        <v>5685</v>
      </c>
      <c r="U388" s="19">
        <v>-20162</v>
      </c>
      <c r="V388" s="115">
        <v>2414.6810999999998</v>
      </c>
      <c r="W388" s="115">
        <f t="shared" si="97"/>
        <v>-48684800.338199995</v>
      </c>
      <c r="X388" s="276" t="s">
        <v>744</v>
      </c>
      <c r="Y388" t="s">
        <v>25</v>
      </c>
      <c r="AA388" t="s">
        <v>25</v>
      </c>
      <c r="AH388" s="20">
        <v>122</v>
      </c>
      <c r="AI388" s="20" t="s">
        <v>5238</v>
      </c>
      <c r="AJ388" s="115">
        <v>18000000</v>
      </c>
      <c r="AK388" s="20">
        <v>19</v>
      </c>
      <c r="AL388" s="20">
        <f t="shared" si="98"/>
        <v>319</v>
      </c>
      <c r="AM388" s="20">
        <f t="shared" si="99"/>
        <v>5742000000</v>
      </c>
      <c r="AN388" s="20"/>
      <c r="AS388" t="s">
        <v>25</v>
      </c>
    </row>
    <row r="389" spans="17:45">
      <c r="Q389" s="97" t="s">
        <v>5238</v>
      </c>
      <c r="R389" s="93">
        <v>18000000</v>
      </c>
      <c r="T389" s="19" t="s">
        <v>5688</v>
      </c>
      <c r="U389" s="19">
        <v>977</v>
      </c>
      <c r="V389" s="115">
        <v>2317.971947</v>
      </c>
      <c r="W389" s="115">
        <f t="shared" si="97"/>
        <v>2264658.5922190002</v>
      </c>
      <c r="X389" s="276" t="s">
        <v>5141</v>
      </c>
      <c r="AH389" s="20">
        <v>123</v>
      </c>
      <c r="AI389" s="20" t="s">
        <v>5266</v>
      </c>
      <c r="AJ389" s="115">
        <v>2000000</v>
      </c>
      <c r="AK389" s="20">
        <v>6</v>
      </c>
      <c r="AL389" s="20">
        <f t="shared" si="98"/>
        <v>300</v>
      </c>
      <c r="AM389" s="20">
        <f t="shared" si="99"/>
        <v>600000000</v>
      </c>
      <c r="AN389" s="20"/>
    </row>
    <row r="390" spans="17:45">
      <c r="Q390" s="97" t="s">
        <v>5288</v>
      </c>
      <c r="R390" s="93">
        <v>20000000</v>
      </c>
      <c r="T390" s="19" t="s">
        <v>5690</v>
      </c>
      <c r="U390" s="19">
        <v>10280</v>
      </c>
      <c r="V390" s="115">
        <v>2225.429357</v>
      </c>
      <c r="W390" s="115">
        <f t="shared" si="97"/>
        <v>22877413.789960001</v>
      </c>
      <c r="X390" s="276" t="s">
        <v>5141</v>
      </c>
      <c r="AH390" s="147">
        <v>124</v>
      </c>
      <c r="AI390" s="147" t="s">
        <v>5277</v>
      </c>
      <c r="AJ390" s="186">
        <v>40000000</v>
      </c>
      <c r="AK390" s="147">
        <v>6</v>
      </c>
      <c r="AL390" s="147">
        <f t="shared" si="98"/>
        <v>294</v>
      </c>
      <c r="AM390" s="147">
        <f t="shared" si="99"/>
        <v>11760000000</v>
      </c>
      <c r="AN390" s="147"/>
    </row>
    <row r="391" spans="17:45">
      <c r="Q391" s="97" t="s">
        <v>5298</v>
      </c>
      <c r="R391" s="93">
        <v>27694196</v>
      </c>
      <c r="T391" s="19" t="s">
        <v>5693</v>
      </c>
      <c r="U391" s="19">
        <v>1022</v>
      </c>
      <c r="V391" s="115">
        <v>2311.6824240000001</v>
      </c>
      <c r="W391" s="115">
        <f t="shared" si="97"/>
        <v>2362539.4373280001</v>
      </c>
      <c r="X391" s="276" t="s">
        <v>5141</v>
      </c>
      <c r="AH391" s="20">
        <v>125</v>
      </c>
      <c r="AI391" s="20" t="s">
        <v>5288</v>
      </c>
      <c r="AJ391" s="115">
        <v>200000</v>
      </c>
      <c r="AK391" s="20">
        <v>0</v>
      </c>
      <c r="AL391" s="20">
        <f t="shared" si="98"/>
        <v>288</v>
      </c>
      <c r="AM391" s="20">
        <f t="shared" si="99"/>
        <v>57600000</v>
      </c>
      <c r="AN391" s="20"/>
    </row>
    <row r="392" spans="17:45">
      <c r="Q392" s="97" t="s">
        <v>5377</v>
      </c>
      <c r="R392" s="93">
        <v>7211722</v>
      </c>
      <c r="T392" s="19" t="s">
        <v>5694</v>
      </c>
      <c r="U392" s="19">
        <v>6818</v>
      </c>
      <c r="V392" s="115">
        <v>2352.988656</v>
      </c>
      <c r="W392" s="115">
        <f t="shared" si="97"/>
        <v>16042676.656608</v>
      </c>
      <c r="X392" s="276" t="s">
        <v>5141</v>
      </c>
      <c r="Y392" t="s">
        <v>25</v>
      </c>
      <c r="AH392" s="147">
        <v>126</v>
      </c>
      <c r="AI392" s="147" t="s">
        <v>5288</v>
      </c>
      <c r="AJ392" s="186">
        <v>200000</v>
      </c>
      <c r="AK392" s="147">
        <v>1</v>
      </c>
      <c r="AL392" s="147">
        <f t="shared" si="98"/>
        <v>288</v>
      </c>
      <c r="AM392" s="147">
        <f t="shared" si="99"/>
        <v>57600000</v>
      </c>
      <c r="AN392" s="147"/>
    </row>
    <row r="393" spans="17:45">
      <c r="Q393" s="97" t="s">
        <v>5378</v>
      </c>
      <c r="R393" s="93">
        <v>8481864</v>
      </c>
      <c r="T393" s="19" t="s">
        <v>5695</v>
      </c>
      <c r="U393" s="19">
        <v>8023</v>
      </c>
      <c r="V393" s="115">
        <v>2293.8167079999998</v>
      </c>
      <c r="W393" s="115">
        <f t="shared" si="97"/>
        <v>18403291.448284</v>
      </c>
      <c r="X393" s="276" t="s">
        <v>5141</v>
      </c>
      <c r="AH393" s="20">
        <v>127</v>
      </c>
      <c r="AI393" s="20" t="s">
        <v>5292</v>
      </c>
      <c r="AJ393" s="115">
        <v>50000</v>
      </c>
      <c r="AK393" s="20">
        <v>4</v>
      </c>
      <c r="AL393" s="20">
        <f t="shared" si="98"/>
        <v>287</v>
      </c>
      <c r="AM393" s="20">
        <f t="shared" si="99"/>
        <v>14350000</v>
      </c>
      <c r="AN393" s="20"/>
      <c r="AR393" t="s">
        <v>25</v>
      </c>
    </row>
    <row r="394" spans="17:45">
      <c r="Q394" s="97" t="s">
        <v>5386</v>
      </c>
      <c r="R394" s="93">
        <v>1558697</v>
      </c>
      <c r="T394" s="19" t="s">
        <v>5698</v>
      </c>
      <c r="U394" s="19">
        <v>4666</v>
      </c>
      <c r="V394" s="115">
        <v>2263.4906230000001</v>
      </c>
      <c r="W394" s="115">
        <f t="shared" si="97"/>
        <v>10561447.246918</v>
      </c>
      <c r="X394" s="276" t="s">
        <v>5141</v>
      </c>
      <c r="Y394" t="s">
        <v>25</v>
      </c>
      <c r="AH394" s="20">
        <v>128</v>
      </c>
      <c r="AI394" s="20" t="s">
        <v>5295</v>
      </c>
      <c r="AJ394" s="115">
        <v>100000</v>
      </c>
      <c r="AK394" s="20">
        <v>9</v>
      </c>
      <c r="AL394" s="20">
        <f t="shared" ref="AL394:AL404" si="100">AK394+AL395</f>
        <v>283</v>
      </c>
      <c r="AM394" s="20">
        <f t="shared" ref="AM394:AM404" si="101">AJ394*AL394</f>
        <v>28300000</v>
      </c>
      <c r="AN394" s="20"/>
    </row>
    <row r="395" spans="17:45">
      <c r="Q395" s="97" t="s">
        <v>5391</v>
      </c>
      <c r="R395" s="93">
        <v>9042009</v>
      </c>
      <c r="T395" s="19" t="s">
        <v>5699</v>
      </c>
      <c r="U395" s="19">
        <v>542</v>
      </c>
      <c r="V395" s="115">
        <v>2263.4906230000001</v>
      </c>
      <c r="W395" s="115">
        <f t="shared" si="97"/>
        <v>1226811.9176660001</v>
      </c>
      <c r="X395" s="276" t="s">
        <v>5141</v>
      </c>
      <c r="AH395" s="20">
        <v>129</v>
      </c>
      <c r="AI395" s="20" t="s">
        <v>5313</v>
      </c>
      <c r="AJ395" s="115">
        <v>-550000</v>
      </c>
      <c r="AK395" s="20">
        <v>5</v>
      </c>
      <c r="AL395" s="20">
        <f t="shared" si="100"/>
        <v>274</v>
      </c>
      <c r="AM395" s="20">
        <f t="shared" si="101"/>
        <v>-150700000</v>
      </c>
      <c r="AN395" s="20"/>
    </row>
    <row r="396" spans="17:45">
      <c r="Q396" s="97" t="s">
        <v>5392</v>
      </c>
      <c r="R396" s="93">
        <v>94969</v>
      </c>
      <c r="T396" s="19" t="s">
        <v>5700</v>
      </c>
      <c r="U396" s="19">
        <v>16629</v>
      </c>
      <c r="V396" s="115">
        <v>2367.7887540000002</v>
      </c>
      <c r="W396" s="115">
        <f t="shared" si="97"/>
        <v>39373959.190266006</v>
      </c>
      <c r="X396" s="276" t="s">
        <v>5141</v>
      </c>
      <c r="AH396" s="20">
        <v>130</v>
      </c>
      <c r="AI396" s="20" t="s">
        <v>5318</v>
      </c>
      <c r="AJ396" s="115">
        <v>-29686490</v>
      </c>
      <c r="AK396" s="20">
        <v>1</v>
      </c>
      <c r="AL396" s="20">
        <f t="shared" si="100"/>
        <v>269</v>
      </c>
      <c r="AM396" s="20">
        <f t="shared" si="101"/>
        <v>-7985665810</v>
      </c>
      <c r="AN396" s="20"/>
    </row>
    <row r="397" spans="17:45">
      <c r="Q397" s="97" t="s">
        <v>5397</v>
      </c>
      <c r="R397" s="93">
        <v>40000000</v>
      </c>
      <c r="T397" s="19" t="s">
        <v>5705</v>
      </c>
      <c r="U397" s="19">
        <v>11765</v>
      </c>
      <c r="V397" s="115">
        <v>2354.7375320000001</v>
      </c>
      <c r="W397" s="115">
        <f t="shared" si="97"/>
        <v>27703487.063980002</v>
      </c>
      <c r="X397" s="276" t="s">
        <v>5141</v>
      </c>
      <c r="AH397" s="20">
        <v>131</v>
      </c>
      <c r="AI397" s="20" t="s">
        <v>5328</v>
      </c>
      <c r="AJ397" s="115">
        <v>-9000000</v>
      </c>
      <c r="AK397" s="20">
        <v>8</v>
      </c>
      <c r="AL397" s="20">
        <f t="shared" si="100"/>
        <v>268</v>
      </c>
      <c r="AM397" s="20">
        <f t="shared" si="101"/>
        <v>-2412000000</v>
      </c>
      <c r="AN397" s="20"/>
    </row>
    <row r="398" spans="17:45" ht="21" customHeight="1">
      <c r="Q398" s="97" t="s">
        <v>5397</v>
      </c>
      <c r="R398" s="93">
        <v>2806274</v>
      </c>
      <c r="T398" s="19" t="s">
        <v>5706</v>
      </c>
      <c r="U398" s="19">
        <v>3672</v>
      </c>
      <c r="V398" s="115">
        <v>2379.873826</v>
      </c>
      <c r="W398" s="115">
        <f t="shared" si="97"/>
        <v>8738896.6890719999</v>
      </c>
      <c r="X398" s="276" t="s">
        <v>5141</v>
      </c>
      <c r="AH398" s="20">
        <v>132</v>
      </c>
      <c r="AI398" s="20" t="s">
        <v>5373</v>
      </c>
      <c r="AJ398" s="115">
        <v>810000</v>
      </c>
      <c r="AK398" s="20">
        <v>2</v>
      </c>
      <c r="AL398" s="20">
        <f t="shared" si="100"/>
        <v>260</v>
      </c>
      <c r="AM398" s="20">
        <f t="shared" si="101"/>
        <v>210600000</v>
      </c>
      <c r="AN398" s="20"/>
    </row>
    <row r="399" spans="17:45">
      <c r="Q399" s="97" t="s">
        <v>5398</v>
      </c>
      <c r="R399" s="93">
        <v>1331702</v>
      </c>
      <c r="T399" s="19" t="s">
        <v>4186</v>
      </c>
      <c r="U399" s="19">
        <v>140</v>
      </c>
      <c r="V399" s="115">
        <v>2487.154767</v>
      </c>
      <c r="W399" s="115">
        <f t="shared" si="97"/>
        <v>348201.66738</v>
      </c>
      <c r="X399" s="276" t="s">
        <v>5141</v>
      </c>
      <c r="AH399" s="20">
        <v>133</v>
      </c>
      <c r="AI399" s="20" t="s">
        <v>5378</v>
      </c>
      <c r="AJ399" s="115">
        <v>-5000000</v>
      </c>
      <c r="AK399" s="20">
        <v>3</v>
      </c>
      <c r="AL399" s="20">
        <f t="shared" si="100"/>
        <v>258</v>
      </c>
      <c r="AM399" s="20">
        <f t="shared" si="101"/>
        <v>-1290000000</v>
      </c>
      <c r="AN399" s="20"/>
    </row>
    <row r="400" spans="17:45" ht="18" customHeight="1">
      <c r="Q400" s="97" t="s">
        <v>5407</v>
      </c>
      <c r="R400" s="93">
        <v>851238</v>
      </c>
      <c r="T400" s="19" t="s">
        <v>5708</v>
      </c>
      <c r="U400" s="19">
        <v>1616</v>
      </c>
      <c r="V400" s="115">
        <v>2573.0760479999999</v>
      </c>
      <c r="W400" s="115">
        <f t="shared" si="97"/>
        <v>4158090.8935679998</v>
      </c>
      <c r="X400" s="276" t="s">
        <v>5141</v>
      </c>
      <c r="AH400" s="20">
        <v>134</v>
      </c>
      <c r="AI400" s="20" t="s">
        <v>5386</v>
      </c>
      <c r="AJ400" s="115">
        <v>-26000000</v>
      </c>
      <c r="AK400" s="20">
        <v>0</v>
      </c>
      <c r="AL400" s="20">
        <f t="shared" si="100"/>
        <v>255</v>
      </c>
      <c r="AM400" s="20">
        <f t="shared" si="101"/>
        <v>-6630000000</v>
      </c>
      <c r="AN400" s="20"/>
    </row>
    <row r="401" spans="17:45" ht="21" customHeight="1">
      <c r="Q401" s="97" t="s">
        <v>5443</v>
      </c>
      <c r="R401" s="93">
        <v>652592</v>
      </c>
      <c r="T401" s="187" t="s">
        <v>5709</v>
      </c>
      <c r="U401" s="187">
        <v>-2272</v>
      </c>
      <c r="V401" s="186">
        <v>2639.970566</v>
      </c>
      <c r="W401" s="186">
        <f t="shared" si="97"/>
        <v>-5998013.1259519998</v>
      </c>
      <c r="X401" s="275" t="s">
        <v>5720</v>
      </c>
      <c r="AD401" t="s">
        <v>25</v>
      </c>
      <c r="AH401" s="252">
        <v>135</v>
      </c>
      <c r="AI401" s="252" t="s">
        <v>5386</v>
      </c>
      <c r="AJ401" s="243">
        <v>-26000000</v>
      </c>
      <c r="AK401" s="252">
        <v>1</v>
      </c>
      <c r="AL401" s="252">
        <f t="shared" si="100"/>
        <v>255</v>
      </c>
      <c r="AM401" s="252">
        <f t="shared" si="101"/>
        <v>-6630000000</v>
      </c>
      <c r="AN401" s="252"/>
    </row>
    <row r="402" spans="17:45">
      <c r="Q402" s="97" t="s">
        <v>5501</v>
      </c>
      <c r="R402" s="93">
        <v>554139</v>
      </c>
      <c r="T402" s="19" t="s">
        <v>5709</v>
      </c>
      <c r="U402" s="19">
        <v>2272</v>
      </c>
      <c r="V402" s="115">
        <v>2639.970566</v>
      </c>
      <c r="W402" s="115">
        <f t="shared" si="97"/>
        <v>5998013.1259519998</v>
      </c>
      <c r="X402" s="276" t="s">
        <v>5719</v>
      </c>
      <c r="Z402" t="s">
        <v>25</v>
      </c>
      <c r="AH402" s="20">
        <v>136</v>
      </c>
      <c r="AI402" s="20" t="s">
        <v>5391</v>
      </c>
      <c r="AJ402" s="115">
        <v>-81800000</v>
      </c>
      <c r="AK402" s="20">
        <v>0</v>
      </c>
      <c r="AL402" s="20">
        <f t="shared" si="100"/>
        <v>254</v>
      </c>
      <c r="AM402" s="20">
        <f t="shared" si="101"/>
        <v>-20777200000</v>
      </c>
      <c r="AN402" s="20"/>
      <c r="AS402" t="s">
        <v>25</v>
      </c>
    </row>
    <row r="403" spans="17:45" ht="30">
      <c r="Q403" s="97" t="s">
        <v>5502</v>
      </c>
      <c r="R403" s="93">
        <v>70373089</v>
      </c>
      <c r="T403" s="19" t="s">
        <v>5709</v>
      </c>
      <c r="U403" s="19">
        <v>4434</v>
      </c>
      <c r="V403" s="115">
        <v>2639.970566</v>
      </c>
      <c r="W403" s="115">
        <f t="shared" si="97"/>
        <v>11705629.489644</v>
      </c>
      <c r="X403" s="276" t="s">
        <v>5721</v>
      </c>
      <c r="AA403" t="s">
        <v>25</v>
      </c>
      <c r="AH403" s="252">
        <v>137</v>
      </c>
      <c r="AI403" s="252" t="s">
        <v>5391</v>
      </c>
      <c r="AJ403" s="243">
        <v>-110000000</v>
      </c>
      <c r="AK403" s="252">
        <v>1</v>
      </c>
      <c r="AL403" s="252">
        <f t="shared" si="100"/>
        <v>254</v>
      </c>
      <c r="AM403" s="252">
        <f t="shared" si="101"/>
        <v>-27940000000</v>
      </c>
      <c r="AN403" s="252"/>
    </row>
    <row r="404" spans="17:45" ht="30">
      <c r="Q404" s="97" t="s">
        <v>5503</v>
      </c>
      <c r="R404" s="93">
        <v>1219655</v>
      </c>
      <c r="S404" t="s">
        <v>25</v>
      </c>
      <c r="T404" s="187" t="s">
        <v>5709</v>
      </c>
      <c r="U404" s="187">
        <v>-2349</v>
      </c>
      <c r="V404" s="186">
        <v>2639.970566</v>
      </c>
      <c r="W404" s="186">
        <f t="shared" si="97"/>
        <v>-6201290.859534</v>
      </c>
      <c r="X404" s="275" t="s">
        <v>5722</v>
      </c>
      <c r="AH404" s="20">
        <v>138</v>
      </c>
      <c r="AI404" s="20" t="s">
        <v>5392</v>
      </c>
      <c r="AJ404" s="115">
        <v>-34000000</v>
      </c>
      <c r="AK404" s="20">
        <v>0</v>
      </c>
      <c r="AL404" s="20">
        <f t="shared" si="100"/>
        <v>253</v>
      </c>
      <c r="AM404" s="20">
        <f t="shared" si="101"/>
        <v>-8602000000</v>
      </c>
      <c r="AN404" s="20"/>
    </row>
    <row r="405" spans="17:45">
      <c r="Q405" s="97" t="s">
        <v>5504</v>
      </c>
      <c r="R405" s="93">
        <v>15350146</v>
      </c>
      <c r="T405" s="19" t="s">
        <v>5709</v>
      </c>
      <c r="U405" s="19">
        <v>2349</v>
      </c>
      <c r="V405" s="115">
        <v>2639.970566</v>
      </c>
      <c r="W405" s="115">
        <f t="shared" si="97"/>
        <v>6201290.859534</v>
      </c>
      <c r="X405" s="276" t="s">
        <v>5723</v>
      </c>
      <c r="AA405" t="s">
        <v>25</v>
      </c>
      <c r="AH405" s="147">
        <v>139</v>
      </c>
      <c r="AI405" s="147" t="s">
        <v>5392</v>
      </c>
      <c r="AJ405" s="186">
        <v>-23900000</v>
      </c>
      <c r="AK405" s="147">
        <v>5</v>
      </c>
      <c r="AL405" s="147">
        <f t="shared" ref="AL405:AL410" si="102">AK405+AL406</f>
        <v>253</v>
      </c>
      <c r="AM405" s="147">
        <f t="shared" ref="AM405:AM410" si="103">AJ405*AL405</f>
        <v>-6046700000</v>
      </c>
      <c r="AN405" s="147"/>
    </row>
    <row r="406" spans="17:45" ht="30">
      <c r="Q406" s="97" t="s">
        <v>5505</v>
      </c>
      <c r="R406" s="93">
        <v>121018</v>
      </c>
      <c r="T406" s="19" t="s">
        <v>5709</v>
      </c>
      <c r="U406" s="19">
        <v>-568</v>
      </c>
      <c r="V406" s="115">
        <v>2639.970566</v>
      </c>
      <c r="W406" s="115">
        <f t="shared" si="97"/>
        <v>-1499503.2814879999</v>
      </c>
      <c r="X406" s="276" t="s">
        <v>5724</v>
      </c>
      <c r="AA406" t="s">
        <v>25</v>
      </c>
      <c r="AH406" s="20">
        <v>140</v>
      </c>
      <c r="AI406" s="20" t="s">
        <v>5407</v>
      </c>
      <c r="AJ406" s="115">
        <v>1000000</v>
      </c>
      <c r="AK406" s="20">
        <v>0</v>
      </c>
      <c r="AL406" s="20">
        <f t="shared" si="102"/>
        <v>248</v>
      </c>
      <c r="AM406" s="20">
        <f t="shared" si="103"/>
        <v>248000000</v>
      </c>
      <c r="AN406" s="20"/>
    </row>
    <row r="407" spans="17:45" ht="30">
      <c r="Q407" s="97" t="s">
        <v>5509</v>
      </c>
      <c r="R407" s="93">
        <v>1024993</v>
      </c>
      <c r="T407" s="19" t="s">
        <v>5709</v>
      </c>
      <c r="U407" s="19">
        <v>568</v>
      </c>
      <c r="V407" s="115">
        <v>2639.970566</v>
      </c>
      <c r="W407" s="115">
        <f t="shared" si="97"/>
        <v>1499503.2814879999</v>
      </c>
      <c r="X407" s="276" t="s">
        <v>5724</v>
      </c>
      <c r="Z407" t="s">
        <v>25</v>
      </c>
      <c r="AH407" s="147">
        <v>141</v>
      </c>
      <c r="AI407" s="147" t="s">
        <v>5407</v>
      </c>
      <c r="AJ407" s="186">
        <v>1000000</v>
      </c>
      <c r="AK407" s="147">
        <v>4</v>
      </c>
      <c r="AL407" s="147">
        <f t="shared" si="102"/>
        <v>248</v>
      </c>
      <c r="AM407" s="147">
        <f t="shared" si="103"/>
        <v>248000000</v>
      </c>
      <c r="AN407" s="147"/>
    </row>
    <row r="408" spans="17:45">
      <c r="Q408" s="97" t="s">
        <v>5525</v>
      </c>
      <c r="R408" s="93">
        <v>1948077</v>
      </c>
      <c r="T408" s="19" t="s">
        <v>5713</v>
      </c>
      <c r="U408" s="19">
        <v>4589</v>
      </c>
      <c r="V408" s="115">
        <v>2639.970566</v>
      </c>
      <c r="W408" s="115">
        <f t="shared" si="97"/>
        <v>12114824.927374</v>
      </c>
      <c r="X408" s="276" t="s">
        <v>5727</v>
      </c>
      <c r="AH408" s="20">
        <v>142</v>
      </c>
      <c r="AI408" s="20" t="s">
        <v>5413</v>
      </c>
      <c r="AJ408" s="115">
        <v>400000</v>
      </c>
      <c r="AK408" s="20">
        <v>0</v>
      </c>
      <c r="AL408" s="20">
        <f t="shared" si="102"/>
        <v>244</v>
      </c>
      <c r="AM408" s="20">
        <f t="shared" si="103"/>
        <v>97600000</v>
      </c>
      <c r="AN408" s="20"/>
    </row>
    <row r="409" spans="17:45">
      <c r="Q409" s="97" t="s">
        <v>5526</v>
      </c>
      <c r="R409" s="93">
        <v>50000120</v>
      </c>
      <c r="T409" s="19" t="s">
        <v>5713</v>
      </c>
      <c r="U409" s="19">
        <v>41959</v>
      </c>
      <c r="V409" s="115">
        <v>2639.970566</v>
      </c>
      <c r="W409" s="115">
        <f t="shared" ref="W409:W448" si="104">U409*V409</f>
        <v>110770524.97879399</v>
      </c>
      <c r="X409" s="276" t="s">
        <v>5141</v>
      </c>
      <c r="AH409" s="147">
        <v>143</v>
      </c>
      <c r="AI409" s="147" t="s">
        <v>5413</v>
      </c>
      <c r="AJ409" s="186">
        <v>400000</v>
      </c>
      <c r="AK409" s="147">
        <v>35</v>
      </c>
      <c r="AL409" s="147">
        <f t="shared" si="102"/>
        <v>244</v>
      </c>
      <c r="AM409" s="147">
        <f t="shared" si="103"/>
        <v>97600000</v>
      </c>
      <c r="AN409" s="147"/>
    </row>
    <row r="410" spans="17:45">
      <c r="Q410" s="97" t="s">
        <v>5527</v>
      </c>
      <c r="R410" s="93">
        <v>20000055</v>
      </c>
      <c r="T410" s="19" t="s">
        <v>5730</v>
      </c>
      <c r="U410" s="19">
        <v>2486</v>
      </c>
      <c r="V410" s="115">
        <v>2688.7156100000002</v>
      </c>
      <c r="W410" s="115">
        <f t="shared" si="104"/>
        <v>6684147.0064600008</v>
      </c>
      <c r="X410" s="276" t="s">
        <v>5141</v>
      </c>
      <c r="AH410" s="20">
        <v>144</v>
      </c>
      <c r="AI410" s="20" t="s">
        <v>5453</v>
      </c>
      <c r="AJ410" s="115">
        <v>3000000</v>
      </c>
      <c r="AK410" s="20">
        <v>0</v>
      </c>
      <c r="AL410" s="20">
        <f t="shared" si="102"/>
        <v>209</v>
      </c>
      <c r="AM410" s="20">
        <f t="shared" si="103"/>
        <v>627000000</v>
      </c>
      <c r="AN410" s="20"/>
    </row>
    <row r="411" spans="17:45">
      <c r="Q411" s="97" t="s">
        <v>5557</v>
      </c>
      <c r="R411" s="93">
        <v>5745697</v>
      </c>
      <c r="T411" s="19" t="s">
        <v>5735</v>
      </c>
      <c r="U411" s="19">
        <v>652</v>
      </c>
      <c r="V411" s="115">
        <v>2801.4344030000002</v>
      </c>
      <c r="W411" s="115">
        <f t="shared" si="104"/>
        <v>1826535.2307560001</v>
      </c>
      <c r="X411" s="276" t="s">
        <v>5141</v>
      </c>
      <c r="Y411" t="s">
        <v>25</v>
      </c>
      <c r="AH411" s="147">
        <v>145</v>
      </c>
      <c r="AI411" s="147" t="s">
        <v>5453</v>
      </c>
      <c r="AJ411" s="186">
        <v>2725000</v>
      </c>
      <c r="AK411" s="147">
        <v>19</v>
      </c>
      <c r="AL411" s="147">
        <f t="shared" ref="AL411:AL414" si="105">AK411+AL412</f>
        <v>209</v>
      </c>
      <c r="AM411" s="147">
        <f t="shared" ref="AM411:AM414" si="106">AJ411*AL411</f>
        <v>569525000</v>
      </c>
      <c r="AN411" s="147"/>
    </row>
    <row r="412" spans="17:45">
      <c r="Q412" s="97" t="s">
        <v>5558</v>
      </c>
      <c r="R412" s="93">
        <v>908158</v>
      </c>
      <c r="T412" s="187" t="s">
        <v>5735</v>
      </c>
      <c r="U412" s="187">
        <v>-536</v>
      </c>
      <c r="V412" s="186">
        <v>2801.4344030000002</v>
      </c>
      <c r="W412" s="186">
        <f t="shared" si="104"/>
        <v>-1501568.8400080001</v>
      </c>
      <c r="X412" s="275" t="s">
        <v>5749</v>
      </c>
      <c r="AH412" s="147">
        <v>146</v>
      </c>
      <c r="AI412" s="147" t="s">
        <v>5339</v>
      </c>
      <c r="AJ412" s="186">
        <v>-8644090</v>
      </c>
      <c r="AK412" s="147">
        <v>0</v>
      </c>
      <c r="AL412" s="147">
        <f t="shared" si="105"/>
        <v>190</v>
      </c>
      <c r="AM412" s="147">
        <f t="shared" si="106"/>
        <v>-1642377100</v>
      </c>
      <c r="AN412" s="147" t="s">
        <v>4751</v>
      </c>
    </row>
    <row r="413" spans="17:45">
      <c r="Q413" s="97" t="s">
        <v>5559</v>
      </c>
      <c r="R413" s="93">
        <v>12642697</v>
      </c>
      <c r="T413" s="19" t="s">
        <v>5739</v>
      </c>
      <c r="U413" s="19">
        <v>1351</v>
      </c>
      <c r="V413" s="115">
        <v>2647.94</v>
      </c>
      <c r="W413" s="115">
        <f t="shared" si="104"/>
        <v>3577366.94</v>
      </c>
      <c r="X413" s="276" t="s">
        <v>5141</v>
      </c>
      <c r="AH413" s="20">
        <v>147</v>
      </c>
      <c r="AI413" s="20" t="s">
        <v>5339</v>
      </c>
      <c r="AJ413" s="115">
        <v>-65461942</v>
      </c>
      <c r="AK413" s="20">
        <v>1</v>
      </c>
      <c r="AL413" s="20">
        <f t="shared" si="105"/>
        <v>190</v>
      </c>
      <c r="AM413" s="20">
        <f t="shared" si="106"/>
        <v>-12437768980</v>
      </c>
      <c r="AN413" s="20" t="s">
        <v>4751</v>
      </c>
      <c r="AR413" t="s">
        <v>25</v>
      </c>
    </row>
    <row r="414" spans="17:45">
      <c r="Q414" s="97" t="s">
        <v>5560</v>
      </c>
      <c r="R414" s="93">
        <v>12297317.81435</v>
      </c>
      <c r="T414" s="19" t="s">
        <v>5741</v>
      </c>
      <c r="U414" s="19">
        <v>8402</v>
      </c>
      <c r="V414" s="115">
        <v>2527.8539839999999</v>
      </c>
      <c r="W414" s="115">
        <f t="shared" si="104"/>
        <v>21239029.173567999</v>
      </c>
      <c r="X414" s="276" t="s">
        <v>5141</v>
      </c>
      <c r="AH414" s="20">
        <v>148</v>
      </c>
      <c r="AI414" s="20" t="s">
        <v>5482</v>
      </c>
      <c r="AJ414" s="115">
        <v>35000000</v>
      </c>
      <c r="AK414" s="20">
        <v>15</v>
      </c>
      <c r="AL414" s="20">
        <f t="shared" si="105"/>
        <v>189</v>
      </c>
      <c r="AM414" s="20">
        <f t="shared" si="106"/>
        <v>6615000000</v>
      </c>
      <c r="AN414" s="20"/>
    </row>
    <row r="415" spans="17:45">
      <c r="Q415" s="97" t="s">
        <v>5561</v>
      </c>
      <c r="R415" s="93">
        <v>8959643.8508579992</v>
      </c>
      <c r="T415" s="19" t="s">
        <v>5746</v>
      </c>
      <c r="U415" s="19">
        <v>98141</v>
      </c>
      <c r="V415" s="115">
        <v>2475.593813</v>
      </c>
      <c r="W415" s="115">
        <f t="shared" si="104"/>
        <v>242957252.40163299</v>
      </c>
      <c r="X415" s="276" t="s">
        <v>5141</v>
      </c>
      <c r="Y415" t="s">
        <v>25</v>
      </c>
      <c r="AH415" s="147">
        <v>149</v>
      </c>
      <c r="AI415" s="147" t="s">
        <v>5505</v>
      </c>
      <c r="AJ415" s="186">
        <v>1400000</v>
      </c>
      <c r="AK415" s="147">
        <v>0</v>
      </c>
      <c r="AL415" s="147">
        <f t="shared" ref="AL415:AL417" si="107">AK415+AL416</f>
        <v>174</v>
      </c>
      <c r="AM415" s="147">
        <f t="shared" ref="AM415:AM418" si="108">AJ415*AL415</f>
        <v>243600000</v>
      </c>
      <c r="AN415" s="147"/>
      <c r="AS415" t="s">
        <v>25</v>
      </c>
    </row>
    <row r="416" spans="17:45">
      <c r="Q416" s="97" t="s">
        <v>5562</v>
      </c>
      <c r="R416" s="93">
        <v>15154095.839328</v>
      </c>
      <c r="T416" s="19" t="s">
        <v>5750</v>
      </c>
      <c r="U416" s="19">
        <v>2910</v>
      </c>
      <c r="V416" s="115">
        <v>2528.240988</v>
      </c>
      <c r="W416" s="115">
        <f t="shared" si="104"/>
        <v>7357181.2750800001</v>
      </c>
      <c r="X416" s="276" t="s">
        <v>5141</v>
      </c>
      <c r="Z416" t="s">
        <v>25</v>
      </c>
      <c r="AH416" s="20">
        <v>150</v>
      </c>
      <c r="AI416" s="20" t="s">
        <v>5505</v>
      </c>
      <c r="AJ416" s="115">
        <v>1600000</v>
      </c>
      <c r="AK416" s="20">
        <v>1</v>
      </c>
      <c r="AL416" s="20">
        <f t="shared" si="107"/>
        <v>174</v>
      </c>
      <c r="AM416" s="20">
        <f t="shared" si="108"/>
        <v>278400000</v>
      </c>
      <c r="AN416" s="20"/>
    </row>
    <row r="417" spans="17:45">
      <c r="Q417" s="97" t="s">
        <v>5583</v>
      </c>
      <c r="R417" s="93">
        <v>50725508.571864001</v>
      </c>
      <c r="T417" s="19" t="s">
        <v>5754</v>
      </c>
      <c r="U417" s="19">
        <v>5652</v>
      </c>
      <c r="V417" s="115">
        <v>2645.3312000000001</v>
      </c>
      <c r="W417" s="115">
        <f t="shared" si="104"/>
        <v>14951411.942400001</v>
      </c>
      <c r="X417" s="276" t="s">
        <v>5141</v>
      </c>
      <c r="Z417" t="s">
        <v>25</v>
      </c>
      <c r="AH417" s="147">
        <v>151</v>
      </c>
      <c r="AI417" s="147" t="s">
        <v>5508</v>
      </c>
      <c r="AJ417" s="186">
        <v>600000</v>
      </c>
      <c r="AK417" s="147">
        <v>0</v>
      </c>
      <c r="AL417" s="147">
        <f t="shared" si="107"/>
        <v>173</v>
      </c>
      <c r="AM417" s="147">
        <f t="shared" si="108"/>
        <v>103800000</v>
      </c>
      <c r="AN417" s="147" t="s">
        <v>5510</v>
      </c>
      <c r="AR417" t="s">
        <v>25</v>
      </c>
      <c r="AS417" t="s">
        <v>25</v>
      </c>
    </row>
    <row r="418" spans="17:45">
      <c r="Q418" s="97" t="s">
        <v>5585</v>
      </c>
      <c r="R418" s="93">
        <v>2281961.458596</v>
      </c>
      <c r="T418" s="19" t="s">
        <v>5758</v>
      </c>
      <c r="U418" s="19">
        <v>18764</v>
      </c>
      <c r="V418" s="115">
        <v>2554.2639829999998</v>
      </c>
      <c r="W418" s="115">
        <f t="shared" si="104"/>
        <v>47928209.377011999</v>
      </c>
      <c r="X418" s="276" t="s">
        <v>5141</v>
      </c>
      <c r="Y418" t="s">
        <v>25</v>
      </c>
      <c r="AH418" s="20">
        <v>152</v>
      </c>
      <c r="AI418" s="20" t="s">
        <v>5508</v>
      </c>
      <c r="AJ418" s="115">
        <v>600000</v>
      </c>
      <c r="AK418" s="20">
        <v>9</v>
      </c>
      <c r="AL418" s="20">
        <f>AK418+AL419</f>
        <v>173</v>
      </c>
      <c r="AM418" s="20">
        <f t="shared" si="108"/>
        <v>103800000</v>
      </c>
      <c r="AN418" s="20" t="s">
        <v>5510</v>
      </c>
    </row>
    <row r="419" spans="17:45">
      <c r="Q419" s="97" t="s">
        <v>5592</v>
      </c>
      <c r="R419" s="93">
        <v>10998285</v>
      </c>
      <c r="T419" s="19" t="s">
        <v>5760</v>
      </c>
      <c r="U419" s="19">
        <v>930</v>
      </c>
      <c r="V419" s="115">
        <v>2453.3287089999999</v>
      </c>
      <c r="W419" s="115">
        <f t="shared" si="104"/>
        <v>2281595.69937</v>
      </c>
      <c r="X419" s="276" t="s">
        <v>5141</v>
      </c>
      <c r="AH419" s="20">
        <v>153</v>
      </c>
      <c r="AI419" s="20" t="s">
        <v>5527</v>
      </c>
      <c r="AJ419" s="115">
        <v>20000000</v>
      </c>
      <c r="AK419" s="20">
        <v>23</v>
      </c>
      <c r="AL419" s="20">
        <f t="shared" ref="AL419:AL420" si="109">AK419+AL420</f>
        <v>164</v>
      </c>
      <c r="AM419" s="20">
        <f t="shared" ref="AM419:AM421" si="110">AJ419*AL419</f>
        <v>3280000000</v>
      </c>
      <c r="AN419" s="20" t="s">
        <v>5546</v>
      </c>
    </row>
    <row r="420" spans="17:45">
      <c r="Q420" s="97" t="s">
        <v>5593</v>
      </c>
      <c r="R420" s="93">
        <v>983018.96187300002</v>
      </c>
      <c r="T420" s="19" t="s">
        <v>5762</v>
      </c>
      <c r="U420" s="19">
        <v>1167</v>
      </c>
      <c r="V420" s="115">
        <v>2540.6307069999998</v>
      </c>
      <c r="W420" s="115">
        <f t="shared" si="104"/>
        <v>2964916.035069</v>
      </c>
      <c r="X420" s="276" t="s">
        <v>5141</v>
      </c>
      <c r="AH420" s="20">
        <v>154</v>
      </c>
      <c r="AI420" s="20" t="s">
        <v>5573</v>
      </c>
      <c r="AJ420" s="115">
        <v>-46183500</v>
      </c>
      <c r="AK420" s="20">
        <v>0</v>
      </c>
      <c r="AL420" s="20">
        <f t="shared" si="109"/>
        <v>141</v>
      </c>
      <c r="AM420" s="20">
        <f t="shared" si="110"/>
        <v>-6511873500</v>
      </c>
      <c r="AN420" s="20" t="s">
        <v>4880</v>
      </c>
      <c r="AR420" t="s">
        <v>25</v>
      </c>
    </row>
    <row r="421" spans="17:45">
      <c r="Q421" s="97" t="s">
        <v>5595</v>
      </c>
      <c r="R421" s="93">
        <v>17049271.032000002</v>
      </c>
      <c r="T421" s="19" t="s">
        <v>5763</v>
      </c>
      <c r="U421" s="19">
        <v>2538</v>
      </c>
      <c r="V421" s="115">
        <v>2545.5277489999999</v>
      </c>
      <c r="W421" s="115">
        <f t="shared" si="104"/>
        <v>6460549.4269619994</v>
      </c>
      <c r="X421" s="276" t="s">
        <v>5141</v>
      </c>
      <c r="AH421" s="147">
        <v>155</v>
      </c>
      <c r="AI421" s="147" t="s">
        <v>5573</v>
      </c>
      <c r="AJ421" s="186">
        <v>-1812800</v>
      </c>
      <c r="AK421" s="147">
        <v>2</v>
      </c>
      <c r="AL421" s="147">
        <f>AK421+AL422</f>
        <v>141</v>
      </c>
      <c r="AM421" s="147">
        <f t="shared" si="110"/>
        <v>-255604800</v>
      </c>
      <c r="AN421" s="147" t="s">
        <v>4880</v>
      </c>
    </row>
    <row r="422" spans="17:45">
      <c r="Q422" s="97" t="s">
        <v>5598</v>
      </c>
      <c r="R422" s="93">
        <v>6829998</v>
      </c>
      <c r="T422" s="19" t="s">
        <v>5765</v>
      </c>
      <c r="U422" s="19">
        <v>2106</v>
      </c>
      <c r="V422" s="115">
        <v>2474.9857059999999</v>
      </c>
      <c r="W422" s="115">
        <f t="shared" si="104"/>
        <v>5212319.8968359996</v>
      </c>
      <c r="X422" s="276" t="s">
        <v>5141</v>
      </c>
      <c r="Y422" t="s">
        <v>25</v>
      </c>
      <c r="Z422" t="s">
        <v>25</v>
      </c>
      <c r="AH422" s="20">
        <v>156</v>
      </c>
      <c r="AI422" s="20" t="s">
        <v>5577</v>
      </c>
      <c r="AJ422" s="115">
        <v>90000</v>
      </c>
      <c r="AK422" s="20">
        <v>0</v>
      </c>
      <c r="AL422" s="20">
        <f t="shared" ref="AL422:AL441" si="111">AK422+AL423</f>
        <v>139</v>
      </c>
      <c r="AM422" s="20">
        <f t="shared" ref="AM422:AM441" si="112">AJ422*AL422</f>
        <v>12510000</v>
      </c>
      <c r="AN422" s="20"/>
    </row>
    <row r="423" spans="17:45">
      <c r="Q423" s="97" t="s">
        <v>4213</v>
      </c>
      <c r="R423" s="93">
        <v>6982608.8207999999</v>
      </c>
      <c r="T423" s="19" t="s">
        <v>5768</v>
      </c>
      <c r="U423" s="19">
        <v>1801</v>
      </c>
      <c r="V423" s="115">
        <v>2512.2134809999998</v>
      </c>
      <c r="W423" s="115">
        <f t="shared" si="104"/>
        <v>4524496.4792809999</v>
      </c>
      <c r="X423" s="276" t="s">
        <v>5141</v>
      </c>
      <c r="Y423" t="s">
        <v>25</v>
      </c>
      <c r="AH423" s="147">
        <v>157</v>
      </c>
      <c r="AI423" s="147" t="s">
        <v>5577</v>
      </c>
      <c r="AJ423" s="186">
        <v>60000</v>
      </c>
      <c r="AK423" s="147">
        <v>5</v>
      </c>
      <c r="AL423" s="147">
        <f t="shared" si="111"/>
        <v>139</v>
      </c>
      <c r="AM423" s="147">
        <f t="shared" si="112"/>
        <v>8340000</v>
      </c>
      <c r="AN423" s="147"/>
    </row>
    <row r="424" spans="17:45">
      <c r="Q424" s="97" t="s">
        <v>5622</v>
      </c>
      <c r="R424" s="93">
        <v>7510131.0216000006</v>
      </c>
      <c r="T424" s="19" t="s">
        <v>5770</v>
      </c>
      <c r="U424" s="19">
        <v>9184</v>
      </c>
      <c r="V424" s="115">
        <v>2489.76919</v>
      </c>
      <c r="W424" s="115">
        <f t="shared" si="104"/>
        <v>22866040.240959998</v>
      </c>
      <c r="X424" s="276" t="s">
        <v>5141</v>
      </c>
      <c r="Z424" t="s">
        <v>25</v>
      </c>
      <c r="AH424" s="20">
        <v>158</v>
      </c>
      <c r="AI424" s="20" t="s">
        <v>5585</v>
      </c>
      <c r="AJ424" s="115">
        <v>50000000</v>
      </c>
      <c r="AK424" s="20">
        <v>29</v>
      </c>
      <c r="AL424" s="20">
        <f t="shared" si="111"/>
        <v>134</v>
      </c>
      <c r="AM424" s="20">
        <f t="shared" si="112"/>
        <v>6700000000</v>
      </c>
      <c r="AN424" s="20" t="s">
        <v>5587</v>
      </c>
    </row>
    <row r="425" spans="17:45">
      <c r="Q425" s="97" t="s">
        <v>5629</v>
      </c>
      <c r="R425" s="93">
        <v>7278025.5327000003</v>
      </c>
      <c r="S425" t="s">
        <v>25</v>
      </c>
      <c r="T425" s="19" t="s">
        <v>5772</v>
      </c>
      <c r="U425" s="19">
        <v>6259</v>
      </c>
      <c r="V425" s="115">
        <v>2453.954988</v>
      </c>
      <c r="W425" s="115">
        <f t="shared" si="104"/>
        <v>15359304.269892</v>
      </c>
      <c r="X425" s="276" t="s">
        <v>5141</v>
      </c>
      <c r="Y425" t="s">
        <v>25</v>
      </c>
      <c r="AH425" s="20">
        <v>159</v>
      </c>
      <c r="AI425" s="20" t="s">
        <v>5649</v>
      </c>
      <c r="AJ425" s="115">
        <v>100000</v>
      </c>
      <c r="AK425" s="20">
        <v>1</v>
      </c>
      <c r="AL425" s="20">
        <f t="shared" si="111"/>
        <v>105</v>
      </c>
      <c r="AM425" s="20">
        <f t="shared" si="112"/>
        <v>10500000</v>
      </c>
      <c r="AN425" s="20"/>
    </row>
    <row r="426" spans="17:45">
      <c r="Q426" s="97" t="s">
        <v>5638</v>
      </c>
      <c r="R426" s="93">
        <v>195059.35799999998</v>
      </c>
      <c r="T426" s="19" t="s">
        <v>5780</v>
      </c>
      <c r="U426" s="19">
        <v>1223</v>
      </c>
      <c r="V426" s="115">
        <v>2345.4686710000001</v>
      </c>
      <c r="W426" s="115">
        <f t="shared" si="104"/>
        <v>2868508.1846330003</v>
      </c>
      <c r="X426" s="276" t="s">
        <v>5141</v>
      </c>
      <c r="Y426" t="s">
        <v>25</v>
      </c>
      <c r="Z426" t="s">
        <v>25</v>
      </c>
      <c r="AH426" s="147">
        <v>160</v>
      </c>
      <c r="AI426" s="147" t="s">
        <v>5637</v>
      </c>
      <c r="AJ426" s="186">
        <v>150000</v>
      </c>
      <c r="AK426" s="147">
        <v>0</v>
      </c>
      <c r="AL426" s="147">
        <f t="shared" si="111"/>
        <v>104</v>
      </c>
      <c r="AM426" s="147">
        <f t="shared" si="112"/>
        <v>15600000</v>
      </c>
      <c r="AN426" s="147"/>
    </row>
    <row r="427" spans="17:45">
      <c r="Q427" s="97" t="s">
        <v>5643</v>
      </c>
      <c r="R427" s="93">
        <v>862577.83200000005</v>
      </c>
      <c r="T427" s="19" t="s">
        <v>5782</v>
      </c>
      <c r="U427" s="19">
        <v>7804</v>
      </c>
      <c r="V427" s="115">
        <v>2236.0831640000001</v>
      </c>
      <c r="W427" s="115">
        <f t="shared" si="104"/>
        <v>17450393.011856001</v>
      </c>
      <c r="X427" s="276" t="s">
        <v>5141</v>
      </c>
      <c r="Y427" t="s">
        <v>25</v>
      </c>
      <c r="AH427" s="20">
        <v>161</v>
      </c>
      <c r="AI427" s="20" t="s">
        <v>5637</v>
      </c>
      <c r="AJ427" s="115">
        <v>-683050</v>
      </c>
      <c r="AK427" s="20">
        <v>7</v>
      </c>
      <c r="AL427" s="20">
        <f t="shared" si="111"/>
        <v>104</v>
      </c>
      <c r="AM427" s="20">
        <f t="shared" si="112"/>
        <v>-71037200</v>
      </c>
      <c r="AN427" s="20" t="s">
        <v>5652</v>
      </c>
    </row>
    <row r="428" spans="17:45">
      <c r="Q428" s="97" t="s">
        <v>5645</v>
      </c>
      <c r="R428" s="93">
        <v>920308.446</v>
      </c>
      <c r="T428" s="19" t="s">
        <v>5784</v>
      </c>
      <c r="U428" s="19">
        <v>14589</v>
      </c>
      <c r="V428" s="115">
        <v>2151.5486500000002</v>
      </c>
      <c r="W428" s="115">
        <f t="shared" si="104"/>
        <v>31388943.254850004</v>
      </c>
      <c r="X428" s="276" t="s">
        <v>5141</v>
      </c>
      <c r="Z428" t="s">
        <v>25</v>
      </c>
      <c r="AH428" s="147">
        <v>162</v>
      </c>
      <c r="AI428" s="147" t="s">
        <v>5663</v>
      </c>
      <c r="AJ428" s="186">
        <v>200000</v>
      </c>
      <c r="AK428" s="147">
        <v>7</v>
      </c>
      <c r="AL428" s="147">
        <f t="shared" si="111"/>
        <v>97</v>
      </c>
      <c r="AM428" s="147">
        <f t="shared" si="112"/>
        <v>19400000</v>
      </c>
      <c r="AN428" s="147"/>
    </row>
    <row r="429" spans="17:45">
      <c r="Q429" s="97" t="s">
        <v>5646</v>
      </c>
      <c r="R429" s="93">
        <v>4635809.8416840006</v>
      </c>
      <c r="S429" t="s">
        <v>25</v>
      </c>
      <c r="T429" s="19" t="s">
        <v>5785</v>
      </c>
      <c r="U429" s="19">
        <v>14741</v>
      </c>
      <c r="V429" s="115">
        <v>2097.0148140000001</v>
      </c>
      <c r="W429" s="115">
        <f t="shared" si="104"/>
        <v>30912095.373174001</v>
      </c>
      <c r="X429" s="276" t="s">
        <v>5141</v>
      </c>
      <c r="AH429" s="147">
        <v>163</v>
      </c>
      <c r="AI429" s="147" t="s">
        <v>5668</v>
      </c>
      <c r="AJ429" s="186">
        <v>150000</v>
      </c>
      <c r="AK429" s="147">
        <v>5</v>
      </c>
      <c r="AL429" s="147">
        <f t="shared" si="111"/>
        <v>90</v>
      </c>
      <c r="AM429" s="147">
        <f t="shared" si="112"/>
        <v>13500000</v>
      </c>
      <c r="AN429" s="147"/>
    </row>
    <row r="430" spans="17:45">
      <c r="Q430" s="97" t="s">
        <v>5649</v>
      </c>
      <c r="R430" s="93">
        <v>288892.40000000002</v>
      </c>
      <c r="T430" s="19" t="s">
        <v>5787</v>
      </c>
      <c r="U430" s="19">
        <v>10237</v>
      </c>
      <c r="V430" s="115">
        <v>1914.9092619999999</v>
      </c>
      <c r="W430" s="115">
        <f t="shared" si="104"/>
        <v>19602926.115093999</v>
      </c>
      <c r="X430" s="276" t="s">
        <v>5141</v>
      </c>
      <c r="AH430" s="20">
        <v>164</v>
      </c>
      <c r="AI430" s="20" t="s">
        <v>5672</v>
      </c>
      <c r="AJ430" s="115">
        <v>320000</v>
      </c>
      <c r="AK430" s="20">
        <v>2</v>
      </c>
      <c r="AL430" s="20">
        <f t="shared" si="111"/>
        <v>85</v>
      </c>
      <c r="AM430" s="20">
        <f t="shared" si="112"/>
        <v>27200000</v>
      </c>
      <c r="AN430" s="20"/>
    </row>
    <row r="431" spans="17:45">
      <c r="Q431" s="97" t="s">
        <v>5682</v>
      </c>
      <c r="R431" s="93">
        <v>58508002.009000003</v>
      </c>
      <c r="T431" s="19" t="s">
        <v>5792</v>
      </c>
      <c r="U431" s="19">
        <v>19211</v>
      </c>
      <c r="V431" s="115">
        <v>1793.6906100000001</v>
      </c>
      <c r="W431" s="115">
        <f t="shared" si="104"/>
        <v>34458590.308710001</v>
      </c>
      <c r="X431" s="276" t="s">
        <v>5141</v>
      </c>
      <c r="Y431" s="112"/>
      <c r="AH431" s="20">
        <v>165</v>
      </c>
      <c r="AI431" s="20" t="s">
        <v>5673</v>
      </c>
      <c r="AJ431" s="115">
        <v>200000</v>
      </c>
      <c r="AK431" s="20">
        <v>29</v>
      </c>
      <c r="AL431" s="20">
        <f t="shared" si="111"/>
        <v>83</v>
      </c>
      <c r="AM431" s="20">
        <f t="shared" si="112"/>
        <v>16600000</v>
      </c>
      <c r="AN431" s="20"/>
    </row>
    <row r="432" spans="17:45">
      <c r="Q432" s="97" t="s">
        <v>5683</v>
      </c>
      <c r="R432" s="93">
        <v>2245515.5410799999</v>
      </c>
      <c r="T432" s="19" t="s">
        <v>5795</v>
      </c>
      <c r="U432" s="19">
        <v>11599</v>
      </c>
      <c r="V432" s="115">
        <v>1870.667144</v>
      </c>
      <c r="W432" s="115">
        <f t="shared" si="104"/>
        <v>21697868.203256</v>
      </c>
      <c r="X432" s="276" t="s">
        <v>5141</v>
      </c>
      <c r="Y432" t="s">
        <v>25</v>
      </c>
      <c r="Z432" t="s">
        <v>25</v>
      </c>
      <c r="AH432" s="20">
        <v>166</v>
      </c>
      <c r="AI432" s="20" t="s">
        <v>5709</v>
      </c>
      <c r="AJ432" s="115">
        <v>4200000</v>
      </c>
      <c r="AK432" s="20">
        <v>0</v>
      </c>
      <c r="AL432" s="20">
        <f t="shared" si="111"/>
        <v>54</v>
      </c>
      <c r="AM432" s="20">
        <f t="shared" si="112"/>
        <v>226800000</v>
      </c>
      <c r="AN432" s="20"/>
    </row>
    <row r="433" spans="17:43">
      <c r="Q433" s="97" t="s">
        <v>5685</v>
      </c>
      <c r="R433" s="93">
        <v>18404699.3442</v>
      </c>
      <c r="T433" s="19" t="s">
        <v>5797</v>
      </c>
      <c r="U433" s="19">
        <v>14098</v>
      </c>
      <c r="V433" s="115">
        <v>1797.423695</v>
      </c>
      <c r="W433" s="115">
        <f t="shared" si="104"/>
        <v>25340079.252110001</v>
      </c>
      <c r="X433" s="276" t="s">
        <v>5141</v>
      </c>
      <c r="AH433" s="147">
        <v>167</v>
      </c>
      <c r="AI433" s="147" t="s">
        <v>5709</v>
      </c>
      <c r="AJ433" s="186">
        <v>3300000</v>
      </c>
      <c r="AK433" s="147">
        <v>11</v>
      </c>
      <c r="AL433" s="147">
        <f t="shared" si="111"/>
        <v>54</v>
      </c>
      <c r="AM433" s="147">
        <f t="shared" si="112"/>
        <v>178200000</v>
      </c>
      <c r="AN433" s="147"/>
    </row>
    <row r="434" spans="17:43">
      <c r="Q434" s="97" t="s">
        <v>5685</v>
      </c>
      <c r="R434" s="93">
        <v>48684800</v>
      </c>
      <c r="T434" s="19" t="s">
        <v>5798</v>
      </c>
      <c r="U434" s="19">
        <v>8497</v>
      </c>
      <c r="V434" s="115">
        <v>1739.5531579999999</v>
      </c>
      <c r="W434" s="115">
        <f t="shared" si="104"/>
        <v>14780983.183526</v>
      </c>
      <c r="X434" s="276" t="s">
        <v>5141</v>
      </c>
      <c r="Z434" t="s">
        <v>25</v>
      </c>
      <c r="AH434" s="147">
        <v>168</v>
      </c>
      <c r="AI434" s="147" t="s">
        <v>5741</v>
      </c>
      <c r="AJ434" s="186">
        <v>-1500000</v>
      </c>
      <c r="AK434" s="147">
        <v>42</v>
      </c>
      <c r="AL434" s="147">
        <f t="shared" si="111"/>
        <v>43</v>
      </c>
      <c r="AM434" s="147">
        <f t="shared" si="112"/>
        <v>-64500000</v>
      </c>
      <c r="AN434" s="147"/>
    </row>
    <row r="435" spans="17:43" ht="30">
      <c r="Q435" s="97" t="s">
        <v>5688</v>
      </c>
      <c r="R435" s="93">
        <v>2264658.5922190002</v>
      </c>
      <c r="T435" s="19" t="s">
        <v>5802</v>
      </c>
      <c r="U435" s="19">
        <v>163820</v>
      </c>
      <c r="V435" s="115">
        <v>1588.685326</v>
      </c>
      <c r="W435" s="115">
        <f t="shared" si="104"/>
        <v>260258430.10532001</v>
      </c>
      <c r="X435" s="276" t="s">
        <v>5807</v>
      </c>
      <c r="AH435" s="20">
        <v>169</v>
      </c>
      <c r="AI435" s="20" t="s">
        <v>5802</v>
      </c>
      <c r="AJ435" s="115">
        <v>260000</v>
      </c>
      <c r="AK435" s="20">
        <v>1</v>
      </c>
      <c r="AL435" s="20">
        <f t="shared" si="111"/>
        <v>1</v>
      </c>
      <c r="AM435" s="20">
        <f t="shared" si="112"/>
        <v>260000</v>
      </c>
      <c r="AN435" s="20"/>
      <c r="AQ435" t="s">
        <v>25</v>
      </c>
    </row>
    <row r="436" spans="17:43">
      <c r="Q436" s="97" t="s">
        <v>5690</v>
      </c>
      <c r="R436" s="93">
        <v>22877413.789960001</v>
      </c>
      <c r="T436" s="19" t="s">
        <v>5802</v>
      </c>
      <c r="U436" s="19">
        <v>11207</v>
      </c>
      <c r="V436" s="115">
        <v>1588.685326</v>
      </c>
      <c r="W436" s="115">
        <f t="shared" si="104"/>
        <v>17804396.448481999</v>
      </c>
      <c r="X436" s="276" t="s">
        <v>5141</v>
      </c>
      <c r="AH436" s="20"/>
      <c r="AI436" s="20"/>
      <c r="AJ436" s="115"/>
      <c r="AK436" s="20"/>
      <c r="AL436" s="20">
        <f t="shared" si="111"/>
        <v>0</v>
      </c>
      <c r="AM436" s="20">
        <f t="shared" si="112"/>
        <v>0</v>
      </c>
      <c r="AN436" s="20"/>
    </row>
    <row r="437" spans="17:43">
      <c r="Q437" s="97" t="s">
        <v>5693</v>
      </c>
      <c r="R437" s="93">
        <v>2362539.4373280001</v>
      </c>
      <c r="T437" s="19" t="s">
        <v>5808</v>
      </c>
      <c r="U437" s="19">
        <v>7198</v>
      </c>
      <c r="V437" s="115">
        <v>1602.9918909999999</v>
      </c>
      <c r="W437" s="115">
        <f t="shared" si="104"/>
        <v>11538335.631417999</v>
      </c>
      <c r="X437" s="276" t="s">
        <v>5141</v>
      </c>
      <c r="AH437" s="20"/>
      <c r="AI437" s="20"/>
      <c r="AJ437" s="115"/>
      <c r="AK437" s="20"/>
      <c r="AL437" s="20">
        <f t="shared" si="111"/>
        <v>0</v>
      </c>
      <c r="AM437" s="20">
        <f t="shared" si="112"/>
        <v>0</v>
      </c>
      <c r="AN437" s="20"/>
    </row>
    <row r="438" spans="17:43">
      <c r="Q438" s="97" t="s">
        <v>5694</v>
      </c>
      <c r="R438" s="93">
        <v>16042676.656608</v>
      </c>
      <c r="S438" t="s">
        <v>25</v>
      </c>
      <c r="T438" s="19" t="s">
        <v>5810</v>
      </c>
      <c r="U438" s="19">
        <v>7804</v>
      </c>
      <c r="V438" s="115">
        <v>1592.7111440000001</v>
      </c>
      <c r="W438" s="115">
        <f t="shared" si="104"/>
        <v>12429517.767776001</v>
      </c>
      <c r="X438" s="276" t="s">
        <v>5141</v>
      </c>
      <c r="Y438" t="s">
        <v>25</v>
      </c>
      <c r="AH438" s="20"/>
      <c r="AI438" s="20"/>
      <c r="AJ438" s="115"/>
      <c r="AK438" s="20"/>
      <c r="AL438" s="20">
        <f t="shared" si="111"/>
        <v>0</v>
      </c>
      <c r="AM438" s="20">
        <f t="shared" si="112"/>
        <v>0</v>
      </c>
      <c r="AN438" s="20"/>
    </row>
    <row r="439" spans="17:43">
      <c r="Q439" s="97" t="s">
        <v>5695</v>
      </c>
      <c r="R439" s="93">
        <v>18403291.448284</v>
      </c>
      <c r="T439" s="19" t="s">
        <v>5826</v>
      </c>
      <c r="U439" s="19">
        <v>2827</v>
      </c>
      <c r="V439" s="115">
        <v>1779.6874809999999</v>
      </c>
      <c r="W439" s="115">
        <f t="shared" si="104"/>
        <v>5031176.5087869996</v>
      </c>
      <c r="X439" s="276" t="s">
        <v>5141</v>
      </c>
      <c r="AH439" s="20"/>
      <c r="AI439" s="20"/>
      <c r="AJ439" s="115"/>
      <c r="AK439" s="20"/>
      <c r="AL439" s="20">
        <f t="shared" si="111"/>
        <v>0</v>
      </c>
      <c r="AM439" s="20">
        <f t="shared" si="112"/>
        <v>0</v>
      </c>
      <c r="AN439" s="20"/>
    </row>
    <row r="440" spans="17:43">
      <c r="Q440" s="97" t="s">
        <v>5698</v>
      </c>
      <c r="R440" s="93">
        <v>10561447.246918</v>
      </c>
      <c r="T440" s="19" t="s">
        <v>5831</v>
      </c>
      <c r="U440" s="19">
        <v>3385</v>
      </c>
      <c r="V440" s="115">
        <v>2015.5993820000001</v>
      </c>
      <c r="W440" s="115">
        <f t="shared" si="104"/>
        <v>6822803.9080700008</v>
      </c>
      <c r="X440" s="276" t="s">
        <v>5141</v>
      </c>
      <c r="Y440" t="s">
        <v>25</v>
      </c>
      <c r="AH440" s="97"/>
      <c r="AI440" s="97"/>
      <c r="AJ440" s="115"/>
      <c r="AK440" s="97"/>
      <c r="AL440" s="20">
        <f t="shared" si="111"/>
        <v>0</v>
      </c>
      <c r="AM440" s="20">
        <f t="shared" si="112"/>
        <v>0</v>
      </c>
      <c r="AN440" s="20"/>
    </row>
    <row r="441" spans="17:43">
      <c r="Q441" s="97" t="s">
        <v>5699</v>
      </c>
      <c r="R441" s="93">
        <v>1226811.9176660001</v>
      </c>
      <c r="T441" s="19" t="s">
        <v>5836</v>
      </c>
      <c r="U441" s="19">
        <v>158</v>
      </c>
      <c r="V441" s="115">
        <v>2094.2388179999998</v>
      </c>
      <c r="W441" s="115">
        <f t="shared" si="104"/>
        <v>330889.73324399994</v>
      </c>
      <c r="X441" s="276" t="s">
        <v>5141</v>
      </c>
      <c r="AH441" s="97"/>
      <c r="AI441" s="97"/>
      <c r="AJ441" s="115"/>
      <c r="AK441" s="97"/>
      <c r="AL441" s="20">
        <f t="shared" si="111"/>
        <v>0</v>
      </c>
      <c r="AM441" s="20">
        <f t="shared" si="112"/>
        <v>0</v>
      </c>
      <c r="AN441" s="97"/>
    </row>
    <row r="442" spans="17:43">
      <c r="Q442" s="97" t="s">
        <v>5700</v>
      </c>
      <c r="R442" s="93">
        <v>39373959.190266006</v>
      </c>
      <c r="T442" s="19"/>
      <c r="U442" s="19"/>
      <c r="V442" s="115"/>
      <c r="W442" s="115">
        <f t="shared" si="104"/>
        <v>0</v>
      </c>
      <c r="X442" s="276"/>
      <c r="Y442" t="s">
        <v>25</v>
      </c>
      <c r="AH442" s="97"/>
      <c r="AI442" s="97"/>
      <c r="AJ442" s="93">
        <f>SUM(AJ267:AJ441)</f>
        <v>166960355</v>
      </c>
      <c r="AK442" s="97"/>
      <c r="AL442" s="97"/>
      <c r="AM442" s="97">
        <f>SUM(AM267:AM441)</f>
        <v>194945880844</v>
      </c>
      <c r="AN442" s="93">
        <f>AM442*AN253/31</f>
        <v>104811709.5492564</v>
      </c>
    </row>
    <row r="443" spans="17:43">
      <c r="Q443" s="97" t="s">
        <v>5705</v>
      </c>
      <c r="R443" s="93">
        <v>27703487.063980002</v>
      </c>
      <c r="S443" t="s">
        <v>25</v>
      </c>
      <c r="T443" s="19"/>
      <c r="U443" s="19"/>
      <c r="V443" s="115"/>
      <c r="W443" s="115">
        <f t="shared" si="104"/>
        <v>0</v>
      </c>
      <c r="X443" s="276"/>
      <c r="AJ443" t="s">
        <v>4043</v>
      </c>
      <c r="AM443" t="s">
        <v>284</v>
      </c>
      <c r="AN443" t="s">
        <v>928</v>
      </c>
    </row>
    <row r="444" spans="17:43">
      <c r="Q444" s="97" t="s">
        <v>5706</v>
      </c>
      <c r="R444" s="93">
        <v>8738896.6890719999</v>
      </c>
      <c r="T444" s="19"/>
      <c r="U444" s="19"/>
      <c r="V444" s="115"/>
      <c r="W444" s="115">
        <f t="shared" si="104"/>
        <v>0</v>
      </c>
      <c r="X444" s="276"/>
      <c r="Z444" t="s">
        <v>25</v>
      </c>
    </row>
    <row r="445" spans="17:43">
      <c r="Q445" s="97" t="s">
        <v>4186</v>
      </c>
      <c r="R445" s="93">
        <v>348201.66738</v>
      </c>
      <c r="T445" s="19"/>
      <c r="U445" s="19"/>
      <c r="V445" s="115"/>
      <c r="W445" s="115">
        <f t="shared" si="104"/>
        <v>0</v>
      </c>
      <c r="X445" s="276"/>
      <c r="Y445" t="s">
        <v>25</v>
      </c>
      <c r="AI445" t="s">
        <v>4045</v>
      </c>
      <c r="AJ445" s="112">
        <f>AJ442+AN442</f>
        <v>271772064.54925638</v>
      </c>
    </row>
    <row r="446" spans="17:43">
      <c r="Q446" s="97" t="s">
        <v>5708</v>
      </c>
      <c r="R446" s="93">
        <v>4158090.8935679998</v>
      </c>
      <c r="T446" s="19"/>
      <c r="U446" s="19"/>
      <c r="V446" s="115"/>
      <c r="W446" s="115">
        <f t="shared" si="104"/>
        <v>0</v>
      </c>
      <c r="X446" s="276" t="s">
        <v>25</v>
      </c>
      <c r="AI446" t="s">
        <v>4048</v>
      </c>
      <c r="AJ446" s="112">
        <f>SUM(N20:N28)</f>
        <v>3453970209</v>
      </c>
    </row>
    <row r="447" spans="17:43">
      <c r="Q447" s="97" t="s">
        <v>5713</v>
      </c>
      <c r="R447" s="93">
        <v>110770524.97879399</v>
      </c>
      <c r="T447" s="19"/>
      <c r="U447" s="19"/>
      <c r="V447" s="115"/>
      <c r="W447" s="115">
        <f t="shared" si="104"/>
        <v>0</v>
      </c>
      <c r="X447" s="276"/>
      <c r="AI447" t="s">
        <v>4119</v>
      </c>
      <c r="AJ447" s="112">
        <f>AJ446-AJ442</f>
        <v>3287009854</v>
      </c>
    </row>
    <row r="448" spans="17:43">
      <c r="Q448" s="97" t="s">
        <v>5709</v>
      </c>
      <c r="R448" s="93">
        <v>17900000</v>
      </c>
      <c r="T448" s="97"/>
      <c r="U448" s="166"/>
      <c r="V448" s="111"/>
      <c r="W448" s="115">
        <f t="shared" si="104"/>
        <v>0</v>
      </c>
      <c r="X448" s="97"/>
      <c r="Z448" t="s">
        <v>25</v>
      </c>
      <c r="AI448" t="s">
        <v>928</v>
      </c>
      <c r="AJ448" s="112">
        <f>AN442</f>
        <v>104811709.5492564</v>
      </c>
    </row>
    <row r="449" spans="17:40">
      <c r="Q449" s="97" t="s">
        <v>5713</v>
      </c>
      <c r="R449" s="93">
        <v>12114824.927374</v>
      </c>
      <c r="T449" s="166"/>
      <c r="U449" s="166">
        <f>SUM(U173:U448)</f>
        <v>4316524</v>
      </c>
      <c r="V449" s="97"/>
      <c r="W449" s="97"/>
      <c r="X449" s="97"/>
      <c r="Y449" t="s">
        <v>25</v>
      </c>
      <c r="AI449" t="s">
        <v>4049</v>
      </c>
      <c r="AJ449" s="112">
        <f>AJ447-AJ448</f>
        <v>3182198144.4507437</v>
      </c>
      <c r="AM449" t="s">
        <v>25</v>
      </c>
      <c r="AN449" t="s">
        <v>25</v>
      </c>
    </row>
    <row r="450" spans="17:40">
      <c r="Q450" s="97" t="s">
        <v>5730</v>
      </c>
      <c r="R450" s="93">
        <v>6684147.0064600008</v>
      </c>
      <c r="T450" s="97"/>
      <c r="U450" s="97" t="s">
        <v>6</v>
      </c>
      <c r="V450" s="97"/>
      <c r="W450" s="97"/>
      <c r="X450" s="97"/>
      <c r="AL450" t="s">
        <v>25</v>
      </c>
      <c r="AM450" t="s">
        <v>25</v>
      </c>
      <c r="AN450" t="s">
        <v>25</v>
      </c>
    </row>
    <row r="451" spans="17:40">
      <c r="Q451" s="97" t="s">
        <v>5735</v>
      </c>
      <c r="R451" s="93">
        <v>1826535.2307560001</v>
      </c>
      <c r="T451" s="198" t="s">
        <v>4440</v>
      </c>
    </row>
    <row r="452" spans="17:40">
      <c r="Q452" s="97" t="s">
        <v>5739</v>
      </c>
      <c r="R452" s="93">
        <v>3577366.94</v>
      </c>
      <c r="T452" s="197">
        <f>R190/U449</f>
        <v>2094.2388180860339</v>
      </c>
      <c r="X452" t="s">
        <v>25</v>
      </c>
    </row>
    <row r="453" spans="17:40">
      <c r="Q453" s="97" t="s">
        <v>5741</v>
      </c>
      <c r="R453" s="93">
        <v>21239029.173567999</v>
      </c>
      <c r="W453" s="112"/>
      <c r="X453" t="s">
        <v>25</v>
      </c>
      <c r="AN453" t="s">
        <v>25</v>
      </c>
    </row>
    <row r="454" spans="17:40">
      <c r="Q454" s="97" t="s">
        <v>5746</v>
      </c>
      <c r="R454" s="93">
        <v>242957252.40163299</v>
      </c>
      <c r="U454" s="94" t="s">
        <v>267</v>
      </c>
      <c r="V454" t="s">
        <v>4441</v>
      </c>
      <c r="X454" t="s">
        <v>25</v>
      </c>
      <c r="AN454" t="s">
        <v>25</v>
      </c>
    </row>
    <row r="455" spans="17:40">
      <c r="Q455" s="97" t="s">
        <v>5753</v>
      </c>
      <c r="R455" s="93">
        <v>7357181.2750800001</v>
      </c>
      <c r="T455" s="112"/>
      <c r="U455" s="93">
        <v>-331440</v>
      </c>
      <c r="V455">
        <f>U455/T452</f>
        <v>-158.26275262288831</v>
      </c>
      <c r="X455" t="s">
        <v>25</v>
      </c>
    </row>
    <row r="456" spans="17:40">
      <c r="Q456" s="97" t="s">
        <v>5754</v>
      </c>
      <c r="R456" s="93">
        <v>14951411.942400001</v>
      </c>
      <c r="T456" t="s">
        <v>25</v>
      </c>
      <c r="X456" t="s">
        <v>25</v>
      </c>
    </row>
    <row r="457" spans="17:40">
      <c r="Q457" s="97" t="s">
        <v>5758</v>
      </c>
      <c r="R457" s="93">
        <v>47928209.377011999</v>
      </c>
      <c r="T457" t="s">
        <v>25</v>
      </c>
      <c r="U457" s="94" t="s">
        <v>25</v>
      </c>
      <c r="V457" s="22"/>
      <c r="W457" s="219"/>
      <c r="X457" s="286" t="s">
        <v>25</v>
      </c>
    </row>
    <row r="458" spans="17:40">
      <c r="Q458" s="97" t="s">
        <v>5760</v>
      </c>
      <c r="R458" s="93">
        <v>2281595.69937</v>
      </c>
      <c r="V458" t="s">
        <v>25</v>
      </c>
      <c r="X458" t="s">
        <v>25</v>
      </c>
    </row>
    <row r="459" spans="17:40">
      <c r="Q459" s="97" t="s">
        <v>5762</v>
      </c>
      <c r="R459" s="93">
        <v>2964916.035069</v>
      </c>
      <c r="W459" s="112"/>
      <c r="X459" t="s">
        <v>25</v>
      </c>
    </row>
    <row r="460" spans="17:40" ht="60">
      <c r="Q460" s="97" t="s">
        <v>5763</v>
      </c>
      <c r="R460" s="93">
        <v>6460549.4269619994</v>
      </c>
      <c r="T460" s="22" t="s">
        <v>4425</v>
      </c>
      <c r="V460" s="219"/>
    </row>
    <row r="461" spans="17:40" ht="45">
      <c r="Q461" s="97" t="s">
        <v>5765</v>
      </c>
      <c r="R461" s="93">
        <v>5212319.8968359996</v>
      </c>
      <c r="T461" s="22" t="s">
        <v>4426</v>
      </c>
      <c r="W461" s="286"/>
    </row>
    <row r="462" spans="17:40">
      <c r="Q462" s="97" t="s">
        <v>5768</v>
      </c>
      <c r="R462" s="93">
        <v>4524496.4792809999</v>
      </c>
    </row>
    <row r="463" spans="17:40">
      <c r="Q463" s="97" t="s">
        <v>5770</v>
      </c>
      <c r="R463" s="93">
        <v>22866040.240959998</v>
      </c>
    </row>
    <row r="464" spans="17:40">
      <c r="Q464" s="97" t="s">
        <v>5772</v>
      </c>
      <c r="R464" s="93">
        <v>15359304.269892</v>
      </c>
      <c r="T464" s="97" t="s">
        <v>4442</v>
      </c>
      <c r="U464" s="97" t="s">
        <v>4420</v>
      </c>
      <c r="V464" s="97" t="s">
        <v>938</v>
      </c>
      <c r="W464" s="72" t="s">
        <v>5631</v>
      </c>
    </row>
    <row r="465" spans="17:24">
      <c r="Q465" s="97" t="s">
        <v>5780</v>
      </c>
      <c r="R465" s="93">
        <v>2868508.1846330003</v>
      </c>
      <c r="T465" s="93">
        <f>S248+R307+R485</f>
        <v>2386926231.9070148</v>
      </c>
      <c r="U465" s="93">
        <f>R190</f>
        <v>9039832120</v>
      </c>
      <c r="V465" s="93">
        <f>U465-T465</f>
        <v>6652905888.0929852</v>
      </c>
    </row>
    <row r="466" spans="17:24">
      <c r="Q466" s="97" t="s">
        <v>5782</v>
      </c>
      <c r="R466" s="93">
        <v>17450393.011856001</v>
      </c>
      <c r="W466" s="94" t="s">
        <v>25</v>
      </c>
    </row>
    <row r="467" spans="17:24">
      <c r="Q467" s="97" t="s">
        <v>5784</v>
      </c>
      <c r="R467" s="93">
        <v>31388943.254850004</v>
      </c>
    </row>
    <row r="468" spans="17:24">
      <c r="Q468" s="97" t="s">
        <v>5785</v>
      </c>
      <c r="R468" s="93">
        <v>30912095.373174001</v>
      </c>
      <c r="T468" s="115"/>
      <c r="V468" s="112">
        <f>(444000000+2500000)*2/3</f>
        <v>297666666.66666669</v>
      </c>
    </row>
    <row r="469" spans="17:24">
      <c r="Q469" s="97" t="s">
        <v>5787</v>
      </c>
      <c r="R469" s="93">
        <v>19602926.115093999</v>
      </c>
    </row>
    <row r="470" spans="17:24">
      <c r="Q470" s="97" t="s">
        <v>5792</v>
      </c>
      <c r="R470" s="93">
        <v>34458590.308710001</v>
      </c>
      <c r="T470" s="112">
        <f>W325+W326+W328+W329+W331+W332</f>
        <v>-301699041.74755996</v>
      </c>
    </row>
    <row r="471" spans="17:24">
      <c r="Q471" s="97" t="s">
        <v>5795</v>
      </c>
      <c r="R471" s="93">
        <v>21697868.203256</v>
      </c>
      <c r="T471" t="s">
        <v>25</v>
      </c>
    </row>
    <row r="472" spans="17:24">
      <c r="Q472" s="97" t="s">
        <v>5797</v>
      </c>
      <c r="R472" s="93">
        <v>25340079.252110001</v>
      </c>
      <c r="T472" s="112">
        <f>V468+T470</f>
        <v>-4032375.0808932781</v>
      </c>
    </row>
    <row r="473" spans="17:24">
      <c r="Q473" s="97" t="s">
        <v>5798</v>
      </c>
      <c r="R473" s="93">
        <v>14780983.183526</v>
      </c>
      <c r="T473" t="s">
        <v>25</v>
      </c>
    </row>
    <row r="474" spans="17:24">
      <c r="Q474" s="97" t="s">
        <v>5802</v>
      </c>
      <c r="R474" s="93">
        <v>17804396.448481999</v>
      </c>
      <c r="T474" t="s">
        <v>25</v>
      </c>
    </row>
    <row r="475" spans="17:24">
      <c r="Q475" s="97" t="s">
        <v>5802</v>
      </c>
      <c r="R475" s="93">
        <v>260260000</v>
      </c>
    </row>
    <row r="476" spans="17:24">
      <c r="Q476" s="97" t="s">
        <v>5808</v>
      </c>
      <c r="R476" s="93">
        <v>11538335.631417999</v>
      </c>
    </row>
    <row r="477" spans="17:24">
      <c r="Q477" s="97" t="s">
        <v>5810</v>
      </c>
      <c r="R477" s="93">
        <v>12429517.767776001</v>
      </c>
      <c r="T477" t="s">
        <v>25</v>
      </c>
    </row>
    <row r="478" spans="17:24">
      <c r="Q478" s="97" t="s">
        <v>5826</v>
      </c>
      <c r="R478" s="93">
        <v>5031176.5087869996</v>
      </c>
      <c r="T478" t="s">
        <v>25</v>
      </c>
    </row>
    <row r="479" spans="17:24">
      <c r="Q479" s="97" t="s">
        <v>5831</v>
      </c>
      <c r="R479" s="93">
        <v>6822803.9080700008</v>
      </c>
      <c r="U479" s="94" t="s">
        <v>25</v>
      </c>
      <c r="W479" s="94" t="s">
        <v>25</v>
      </c>
    </row>
    <row r="480" spans="17:24">
      <c r="Q480" s="97" t="s">
        <v>5836</v>
      </c>
      <c r="R480" s="93">
        <v>330889.73324399994</v>
      </c>
      <c r="T480" t="s">
        <v>25</v>
      </c>
      <c r="X480" t="s">
        <v>25</v>
      </c>
    </row>
    <row r="481" spans="17:22">
      <c r="Q481" s="97"/>
      <c r="R481" s="93"/>
      <c r="T481" t="s">
        <v>25</v>
      </c>
      <c r="V481" t="s">
        <v>25</v>
      </c>
    </row>
    <row r="482" spans="17:22">
      <c r="Q482" s="97"/>
      <c r="R482" s="93"/>
      <c r="T482" t="s">
        <v>25</v>
      </c>
      <c r="U482" s="94" t="s">
        <v>25</v>
      </c>
    </row>
    <row r="483" spans="17:22">
      <c r="Q483" s="97"/>
      <c r="R483" s="93"/>
      <c r="T483" t="s">
        <v>25</v>
      </c>
      <c r="U483" s="94" t="s">
        <v>25</v>
      </c>
      <c r="V483" t="s">
        <v>25</v>
      </c>
    </row>
    <row r="484" spans="17:22">
      <c r="Q484" s="97" t="s">
        <v>25</v>
      </c>
      <c r="R484" s="97" t="s">
        <v>25</v>
      </c>
      <c r="T484" t="s">
        <v>25</v>
      </c>
      <c r="U484" s="94" t="s">
        <v>25</v>
      </c>
      <c r="V484" t="s">
        <v>25</v>
      </c>
    </row>
    <row r="485" spans="17:22">
      <c r="Q485" s="97" t="s">
        <v>25</v>
      </c>
      <c r="R485" s="93">
        <f>SUM(R312:R484)</f>
        <v>2212390310.455615</v>
      </c>
      <c r="T485" t="s">
        <v>25</v>
      </c>
      <c r="U485" s="94" t="s">
        <v>25</v>
      </c>
    </row>
    <row r="486" spans="17:22">
      <c r="Q486" s="97"/>
      <c r="R486" s="97" t="s">
        <v>6</v>
      </c>
      <c r="T486" t="s">
        <v>25</v>
      </c>
      <c r="U486" s="94" t="s">
        <v>25</v>
      </c>
      <c r="V486" t="s">
        <v>25</v>
      </c>
    </row>
    <row r="487" spans="17:22">
      <c r="T487" t="s">
        <v>25</v>
      </c>
      <c r="U487" s="94" t="s">
        <v>25</v>
      </c>
    </row>
    <row r="488" spans="17:22">
      <c r="T488" t="s">
        <v>25</v>
      </c>
      <c r="U488" s="94" t="s">
        <v>25</v>
      </c>
    </row>
    <row r="489" spans="17:22">
      <c r="Q489" t="s">
        <v>25</v>
      </c>
      <c r="T489" t="s">
        <v>25</v>
      </c>
      <c r="U489" s="94" t="s">
        <v>25</v>
      </c>
      <c r="V489" t="s">
        <v>25</v>
      </c>
    </row>
    <row r="490" spans="17:22">
      <c r="T490" t="s">
        <v>25</v>
      </c>
      <c r="U490" s="94" t="s">
        <v>25</v>
      </c>
    </row>
    <row r="491" spans="17:22">
      <c r="R491" t="s">
        <v>25</v>
      </c>
      <c r="T491" t="s">
        <v>25</v>
      </c>
    </row>
    <row r="492" spans="17:22">
      <c r="R492" t="s">
        <v>25</v>
      </c>
      <c r="T492" t="s">
        <v>25</v>
      </c>
      <c r="U492" s="94" t="s">
        <v>25</v>
      </c>
    </row>
    <row r="493" spans="17:22">
      <c r="Q493" t="s">
        <v>25</v>
      </c>
    </row>
    <row r="494" spans="17:22">
      <c r="R494" t="s">
        <v>25</v>
      </c>
      <c r="T494" t="s">
        <v>25</v>
      </c>
    </row>
    <row r="495" spans="17:22">
      <c r="T495"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01:G1048576 G193:G214 G290:G296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S14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2020-11-23T13:55:04Z</dcterms:modified>
</cp:coreProperties>
</file>