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20" windowWidth="29040" windowHeight="15840" firstSheet="2" activeTab="12"/>
  </bookViews>
  <sheets>
    <sheet name="دلار" sheetId="69" r:id="rId1"/>
    <sheet name="AgentBased" sheetId="44" r:id="rId2"/>
    <sheet name="سهام بنیادی" sheetId="70" r:id="rId3"/>
    <sheet name="وسپه" sheetId="74" r:id="rId4"/>
    <sheet name="تاپیکو" sheetId="75" r:id="rId5"/>
    <sheet name="ومهان" sheetId="73" r:id="rId6"/>
    <sheet name="وغدیر" sheetId="60" r:id="rId7"/>
    <sheet name="مهدی" sheetId="72" r:id="rId8"/>
    <sheet name="فروردین 98" sheetId="58" r:id="rId9"/>
    <sheet name="سارا" sheetId="20" r:id="rId10"/>
    <sheet name="مسکن ایلیا" sheetId="15" r:id="rId11"/>
    <sheet name="مسکن مریم یاران" sheetId="13" r:id="rId12"/>
    <sheet name="برنامه 5 ساله" sheetId="18" r:id="rId13"/>
    <sheet name="خرید و فروش نسبتی" sheetId="63" r:id="rId14"/>
    <sheet name="نقدینگی" sheetId="71" r:id="rId15"/>
    <sheet name="بدهی خانه" sheetId="10" r:id="rId16"/>
    <sheet name="معاملات مرتبط" sheetId="68" r:id="rId17"/>
    <sheet name="خرید و فروش سکه فیزیکی" sheetId="52" r:id="rId18"/>
    <sheet name="مسکن علی سید الشهدا" sheetId="16" r:id="rId19"/>
    <sheet name="استراتژی جدید" sheetId="62" r:id="rId20"/>
    <sheet name="strategy" sheetId="49" r:id="rId21"/>
    <sheet name="مسکن مریم سید الشهدا" sheetId="14" r:id="rId22"/>
    <sheet name="سرمایه گذاری ها" sheetId="59" r:id="rId23"/>
    <sheet name="اردیبهشت95" sheetId="5" r:id="rId24"/>
    <sheet name="خرداد 95" sheetId="4" r:id="rId25"/>
    <sheet name="تیرماه95" sheetId="2" r:id="rId26"/>
    <sheet name="مرداد 95" sheetId="3" r:id="rId27"/>
    <sheet name="شهریور 95" sheetId="6" r:id="rId28"/>
    <sheet name="مهر 95" sheetId="7" r:id="rId29"/>
    <sheet name="آبان 95" sheetId="8" r:id="rId30"/>
    <sheet name="آذر 95" sheetId="9" r:id="rId31"/>
    <sheet name="دی 95" sheetId="11" r:id="rId32"/>
    <sheet name="بهمن 95" sheetId="12" r:id="rId33"/>
    <sheet name="اسفند 95" sheetId="17" r:id="rId34"/>
    <sheet name="فروردین 96" sheetId="19" r:id="rId35"/>
    <sheet name="اردیبهشت 96" sheetId="21" r:id="rId36"/>
    <sheet name="خرداد 96" sheetId="22" r:id="rId37"/>
    <sheet name="تیر 96" sheetId="23" r:id="rId38"/>
    <sheet name="مرداد 96" sheetId="24" r:id="rId39"/>
    <sheet name="شهریور 96" sheetId="25" r:id="rId40"/>
    <sheet name="مهر96" sheetId="26" r:id="rId41"/>
    <sheet name="آبان 96" sheetId="27" r:id="rId42"/>
    <sheet name="آذر 96" sheetId="28" r:id="rId43"/>
    <sheet name="دی 96" sheetId="29" r:id="rId44"/>
    <sheet name="بهمن 96" sheetId="30" r:id="rId45"/>
    <sheet name="اسفند 96" sheetId="31" r:id="rId46"/>
    <sheet name="فروردین 97" sheetId="34" r:id="rId47"/>
    <sheet name="اردیبهشت 97" sheetId="38" r:id="rId48"/>
    <sheet name="خرداد 97" sheetId="42" r:id="rId49"/>
    <sheet name="تیر97" sheetId="43" r:id="rId50"/>
    <sheet name="مرداد97" sheetId="45" r:id="rId51"/>
    <sheet name="شهریور97" sheetId="46" r:id="rId52"/>
    <sheet name="مهر97" sheetId="48" r:id="rId53"/>
    <sheet name="آبان97" sheetId="50" r:id="rId54"/>
    <sheet name="آذر 97" sheetId="51" r:id="rId55"/>
    <sheet name="دی 97" sheetId="54" r:id="rId56"/>
    <sheet name="بهمن 97" sheetId="55" r:id="rId57"/>
    <sheet name="اسفند97" sheetId="57" r:id="rId58"/>
    <sheet name="لیست خرید و فروش" sheetId="32" r:id="rId59"/>
    <sheet name="اوراق بدون ریسک" sheetId="33" r:id="rId60"/>
    <sheet name="نکات" sheetId="35" r:id="rId61"/>
    <sheet name="سکه" sheetId="36" r:id="rId62"/>
    <sheet name="apply" sheetId="37" r:id="rId63"/>
    <sheet name="بیمه" sheetId="39" r:id="rId64"/>
    <sheet name="آرشیو قیمت ارجینال" sheetId="40" r:id="rId65"/>
    <sheet name="تحلیل1" sheetId="41" r:id="rId66"/>
    <sheet name="Sheet1" sheetId="53" r:id="rId67"/>
    <sheet name="ومهان بورسی" sheetId="65" r:id="rId68"/>
    <sheet name="صبحانه" sheetId="56" r:id="rId69"/>
    <sheet name="شارژ ساختمان" sheetId="61" r:id="rId70"/>
    <sheet name="خرید خانه" sheetId="67" r:id="rId71"/>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60" i="18" l="1"/>
  <c r="X558" i="18"/>
  <c r="W127" i="18"/>
  <c r="X127" i="18" s="1"/>
  <c r="T127" i="18"/>
  <c r="I39" i="63"/>
  <c r="J39" i="63" s="1"/>
  <c r="K39" i="63" s="1"/>
  <c r="N39" i="63"/>
  <c r="I40" i="63"/>
  <c r="J40" i="63" s="1"/>
  <c r="K40" i="63" s="1"/>
  <c r="N40" i="63"/>
  <c r="I41" i="63"/>
  <c r="J41" i="63" s="1"/>
  <c r="K41" i="63" s="1"/>
  <c r="N41" i="63"/>
  <c r="I42" i="63"/>
  <c r="J42" i="63" s="1"/>
  <c r="K42" i="63" s="1"/>
  <c r="N42" i="63"/>
  <c r="G40" i="63"/>
  <c r="H40" i="63"/>
  <c r="Y127" i="18" l="1"/>
  <c r="W126" i="18"/>
  <c r="X126" i="18"/>
  <c r="Y126" i="18"/>
  <c r="T126" i="18"/>
  <c r="X557" i="18"/>
  <c r="H38" i="63"/>
  <c r="I38" i="63"/>
  <c r="H39" i="63"/>
  <c r="H41" i="63"/>
  <c r="H42" i="63"/>
  <c r="G39" i="63"/>
  <c r="J38" i="63" l="1"/>
  <c r="K38" i="63" s="1"/>
  <c r="T125" i="18"/>
  <c r="W125" i="18" s="1"/>
  <c r="X125" i="18" s="1"/>
  <c r="G38" i="63"/>
  <c r="G37" i="63"/>
  <c r="H37" i="63"/>
  <c r="N38" i="63" s="1"/>
  <c r="I37" i="63"/>
  <c r="G41" i="63"/>
  <c r="H36" i="63"/>
  <c r="G36" i="63"/>
  <c r="I36" i="63"/>
  <c r="Y125" i="18" l="1"/>
  <c r="J37" i="63"/>
  <c r="K37" i="63" s="1"/>
  <c r="N37" i="63"/>
  <c r="J36" i="63"/>
  <c r="K36" i="63" s="1"/>
  <c r="X556" i="18"/>
  <c r="T124" i="18"/>
  <c r="O40" i="18"/>
  <c r="X555" i="18"/>
  <c r="G16" i="60" l="1"/>
  <c r="I44" i="63" l="1"/>
  <c r="H2" i="70" l="1"/>
  <c r="G2" i="70"/>
  <c r="H44" i="63" l="1"/>
  <c r="G44" i="63"/>
  <c r="G45" i="63"/>
  <c r="H45" i="63"/>
  <c r="I45" i="63"/>
  <c r="G46" i="63"/>
  <c r="H46" i="63"/>
  <c r="I46" i="63"/>
  <c r="G47" i="63"/>
  <c r="H47" i="63"/>
  <c r="I47" i="63"/>
  <c r="G48" i="63"/>
  <c r="H48" i="63"/>
  <c r="I48" i="63"/>
  <c r="J48" i="63" s="1"/>
  <c r="K48" i="63" s="1"/>
  <c r="G49" i="63"/>
  <c r="H49" i="63"/>
  <c r="I49" i="63"/>
  <c r="G50" i="63"/>
  <c r="H50" i="63"/>
  <c r="I50" i="63"/>
  <c r="X554" i="18"/>
  <c r="T59" i="18"/>
  <c r="N46" i="63" l="1"/>
  <c r="J49" i="63"/>
  <c r="K49" i="63" s="1"/>
  <c r="J50" i="63"/>
  <c r="K50" i="63" s="1"/>
  <c r="J47" i="63"/>
  <c r="K47" i="63" s="1"/>
  <c r="J44" i="63"/>
  <c r="K44" i="63" s="1"/>
  <c r="J45" i="63"/>
  <c r="K45" i="63" s="1"/>
  <c r="J46" i="63"/>
  <c r="K46" i="63" s="1"/>
  <c r="X553" i="18"/>
  <c r="T123" i="18"/>
  <c r="T58" i="18"/>
  <c r="T122" i="18" l="1"/>
  <c r="O33" i="18" l="1"/>
  <c r="R1" i="63" l="1"/>
  <c r="T121" i="18" l="1"/>
  <c r="X552" i="18" l="1"/>
  <c r="X551" i="18" l="1"/>
  <c r="X550" i="18"/>
  <c r="I35" i="63"/>
  <c r="H35" i="63"/>
  <c r="N36" i="63" s="1"/>
  <c r="J35" i="63" l="1"/>
  <c r="P53" i="18"/>
  <c r="V562" i="18"/>
  <c r="S309" i="18"/>
  <c r="X549" i="18"/>
  <c r="X548" i="18" l="1"/>
  <c r="X547" i="18"/>
  <c r="X546" i="18"/>
  <c r="X545" i="18" l="1"/>
  <c r="T120" i="18" l="1"/>
  <c r="X541" i="18"/>
  <c r="X544" i="18"/>
  <c r="X543" i="18" l="1"/>
  <c r="X542" i="18"/>
  <c r="X540" i="18"/>
  <c r="X539" i="18" l="1"/>
  <c r="X538" i="18" l="1"/>
  <c r="P23" i="18"/>
  <c r="N23" i="18" s="1"/>
  <c r="P22" i="18"/>
  <c r="N22" i="18" s="1"/>
  <c r="X537" i="18"/>
  <c r="X536" i="18" l="1"/>
  <c r="X535" i="18"/>
  <c r="AK279" i="18"/>
  <c r="X534" i="18"/>
  <c r="X533" i="18"/>
  <c r="X532" i="18"/>
  <c r="X531" i="18"/>
  <c r="X530" i="18"/>
  <c r="W581" i="18"/>
  <c r="T119" i="18" l="1"/>
  <c r="G35" i="63"/>
  <c r="K35" i="63" l="1"/>
  <c r="G33" i="63"/>
  <c r="G34" i="63"/>
  <c r="I34" i="63"/>
  <c r="H34" i="63"/>
  <c r="N35" i="63" s="1"/>
  <c r="T118" i="18"/>
  <c r="H33" i="63"/>
  <c r="J47" i="60"/>
  <c r="N34" i="63" l="1"/>
  <c r="J34" i="63"/>
  <c r="K34" i="63" s="1"/>
  <c r="J11" i="60"/>
  <c r="F5" i="60"/>
  <c r="E4" i="60"/>
  <c r="F4" i="60" s="1"/>
  <c r="K82" i="18"/>
  <c r="X529" i="18"/>
  <c r="X528" i="18"/>
  <c r="X560" i="18"/>
  <c r="X561" i="18"/>
  <c r="X527" i="18"/>
  <c r="G19" i="74"/>
  <c r="E19" i="74"/>
  <c r="C19" i="74"/>
  <c r="I14" i="74"/>
  <c r="G14" i="74"/>
  <c r="E14" i="74"/>
  <c r="C14" i="74"/>
  <c r="I5" i="74"/>
  <c r="G5" i="74"/>
  <c r="E5" i="74"/>
  <c r="C5" i="74"/>
  <c r="I12" i="74"/>
  <c r="G13" i="74"/>
  <c r="E13" i="74"/>
  <c r="I13" i="74"/>
  <c r="C13" i="74"/>
  <c r="I9" i="74"/>
  <c r="G9" i="74"/>
  <c r="E9" i="74"/>
  <c r="C9" i="74"/>
  <c r="I8" i="74"/>
  <c r="G8" i="74"/>
  <c r="E8" i="74"/>
  <c r="C8" i="74"/>
  <c r="I4" i="74"/>
  <c r="G4" i="74"/>
  <c r="E4" i="74"/>
  <c r="C4" i="74"/>
  <c r="I3" i="74"/>
  <c r="G3" i="74"/>
  <c r="E3" i="74"/>
  <c r="C3" i="74"/>
  <c r="D3" i="74" s="1"/>
  <c r="X526" i="18"/>
  <c r="T117" i="18"/>
  <c r="X525" i="18"/>
  <c r="O51" i="18"/>
  <c r="X524" i="18"/>
  <c r="P66" i="18" l="1"/>
  <c r="N51" i="18"/>
  <c r="I2" i="73" l="1"/>
  <c r="C2" i="73"/>
  <c r="G2" i="73"/>
  <c r="E2" i="73"/>
  <c r="I3" i="73"/>
  <c r="G3" i="73"/>
  <c r="E3" i="73"/>
  <c r="C3" i="73"/>
  <c r="I4" i="73"/>
  <c r="G4" i="73"/>
  <c r="E4" i="73"/>
  <c r="C4" i="73"/>
  <c r="I5" i="73"/>
  <c r="G5" i="73"/>
  <c r="H5" i="73" s="1"/>
  <c r="E5" i="73"/>
  <c r="C5" i="73"/>
  <c r="F56" i="63" l="1"/>
  <c r="I56" i="63" s="1"/>
  <c r="D34" i="60" l="1"/>
  <c r="W582" i="18" l="1"/>
  <c r="W583" i="18"/>
  <c r="W584" i="18"/>
  <c r="H32" i="63" l="1"/>
  <c r="G43" i="60"/>
  <c r="H43" i="60" s="1"/>
  <c r="E43" i="60"/>
  <c r="F43" i="60" s="1"/>
  <c r="C43" i="60"/>
  <c r="D43" i="60" s="1"/>
  <c r="I43" i="60"/>
  <c r="J43" i="60" s="1"/>
  <c r="G44" i="60"/>
  <c r="H44" i="60" s="1"/>
  <c r="E44" i="60"/>
  <c r="C44" i="60"/>
  <c r="D44" i="60" s="1"/>
  <c r="I44" i="60"/>
  <c r="J44" i="60" s="1"/>
  <c r="H47" i="60"/>
  <c r="F47" i="60"/>
  <c r="D47" i="60"/>
  <c r="G42" i="60"/>
  <c r="H42" i="60" s="1"/>
  <c r="E42" i="60"/>
  <c r="C42" i="60"/>
  <c r="I42" i="60"/>
  <c r="J42" i="60" s="1"/>
  <c r="G46" i="60"/>
  <c r="H46" i="60" s="1"/>
  <c r="E46" i="60"/>
  <c r="F46" i="60" s="1"/>
  <c r="C46" i="60"/>
  <c r="D46" i="60" s="1"/>
  <c r="I46" i="60"/>
  <c r="J46" i="60" s="1"/>
  <c r="G45" i="60"/>
  <c r="H45" i="60" s="1"/>
  <c r="E45" i="60"/>
  <c r="F45" i="60" s="1"/>
  <c r="C45" i="60"/>
  <c r="D45" i="60" s="1"/>
  <c r="I45" i="60"/>
  <c r="J45" i="60" s="1"/>
  <c r="G23" i="60"/>
  <c r="H23" i="60" s="1"/>
  <c r="E23" i="60"/>
  <c r="F23" i="60" s="1"/>
  <c r="C23" i="60"/>
  <c r="D23" i="60" s="1"/>
  <c r="I23" i="60"/>
  <c r="J23" i="60" s="1"/>
  <c r="G22" i="60"/>
  <c r="H22" i="60" s="1"/>
  <c r="E22" i="60"/>
  <c r="F22" i="60" s="1"/>
  <c r="C22" i="60"/>
  <c r="D22" i="60" s="1"/>
  <c r="I22" i="60"/>
  <c r="J22" i="60" s="1"/>
  <c r="G21" i="60"/>
  <c r="H21" i="60" s="1"/>
  <c r="E21" i="60"/>
  <c r="F21" i="60" s="1"/>
  <c r="C21" i="60"/>
  <c r="D21" i="60" s="1"/>
  <c r="I21" i="60"/>
  <c r="J21" i="60" s="1"/>
  <c r="G20" i="60"/>
  <c r="H20" i="60" s="1"/>
  <c r="E20" i="60"/>
  <c r="F20" i="60" s="1"/>
  <c r="C20" i="60"/>
  <c r="D20" i="60" s="1"/>
  <c r="G19" i="60"/>
  <c r="H19" i="60" s="1"/>
  <c r="E19" i="60"/>
  <c r="F19" i="60" s="1"/>
  <c r="C19" i="60"/>
  <c r="D19" i="60" s="1"/>
  <c r="I19" i="60"/>
  <c r="J19" i="60" s="1"/>
  <c r="G18" i="60"/>
  <c r="H18" i="60" s="1"/>
  <c r="E18" i="60"/>
  <c r="F18" i="60" s="1"/>
  <c r="C18" i="60"/>
  <c r="D18" i="60" s="1"/>
  <c r="I18" i="60"/>
  <c r="J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I20" i="60"/>
  <c r="J20" i="60" s="1"/>
  <c r="I17" i="60"/>
  <c r="J17" i="60" s="1"/>
  <c r="I16" i="60"/>
  <c r="J16" i="60" s="1"/>
  <c r="I15" i="60"/>
  <c r="J15" i="60" s="1"/>
  <c r="I3" i="60"/>
  <c r="J3" i="60" s="1"/>
  <c r="I2" i="60"/>
  <c r="D51" i="60" l="1"/>
  <c r="C5" i="60" s="1"/>
  <c r="D5" i="60" s="1"/>
  <c r="J51" i="60"/>
  <c r="I5" i="60" s="1"/>
  <c r="J5" i="60" s="1"/>
  <c r="F26" i="60"/>
  <c r="H26" i="60"/>
  <c r="G4" i="60" s="1"/>
  <c r="H4" i="60" s="1"/>
  <c r="J26" i="60"/>
  <c r="I4" i="60" s="1"/>
  <c r="J4" i="60" s="1"/>
  <c r="D26" i="60"/>
  <c r="H51" i="60"/>
  <c r="G5" i="60" s="1"/>
  <c r="H5" i="60" s="1"/>
  <c r="F44" i="60"/>
  <c r="F51" i="60" s="1"/>
  <c r="J21" i="74"/>
  <c r="H21" i="74"/>
  <c r="F21" i="74"/>
  <c r="D21" i="74"/>
  <c r="J20" i="74"/>
  <c r="H20" i="74"/>
  <c r="F20" i="74"/>
  <c r="D20" i="74"/>
  <c r="J19" i="74"/>
  <c r="H19" i="74"/>
  <c r="F19" i="74"/>
  <c r="D19" i="74"/>
  <c r="J18" i="74"/>
  <c r="H18" i="74"/>
  <c r="F18" i="74"/>
  <c r="D18" i="74"/>
  <c r="J17" i="74"/>
  <c r="H17" i="74"/>
  <c r="F17" i="74"/>
  <c r="D17" i="74"/>
  <c r="J16" i="74"/>
  <c r="H16" i="74"/>
  <c r="F16" i="74"/>
  <c r="D16" i="74"/>
  <c r="J15" i="74"/>
  <c r="H15" i="74"/>
  <c r="F15" i="74"/>
  <c r="D15" i="74"/>
  <c r="J14" i="74"/>
  <c r="H14" i="74"/>
  <c r="F14" i="74"/>
  <c r="D14" i="74"/>
  <c r="J13" i="74"/>
  <c r="H13" i="74"/>
  <c r="F13" i="74"/>
  <c r="D13" i="74"/>
  <c r="J12" i="74"/>
  <c r="H12" i="74"/>
  <c r="F12" i="74"/>
  <c r="D12" i="74"/>
  <c r="J11" i="74"/>
  <c r="H11" i="74"/>
  <c r="F11" i="74"/>
  <c r="D11" i="74"/>
  <c r="J10" i="74"/>
  <c r="H10" i="74"/>
  <c r="F10" i="74"/>
  <c r="D10" i="74"/>
  <c r="J9" i="74"/>
  <c r="H9" i="74"/>
  <c r="F9" i="74"/>
  <c r="D9" i="74"/>
  <c r="J8" i="74"/>
  <c r="H8" i="74"/>
  <c r="F8" i="74"/>
  <c r="D8" i="74"/>
  <c r="J7" i="74"/>
  <c r="H7" i="74"/>
  <c r="F7" i="74"/>
  <c r="D7" i="74"/>
  <c r="J6" i="74"/>
  <c r="H6" i="74"/>
  <c r="F6" i="74"/>
  <c r="D6" i="74"/>
  <c r="J5" i="74"/>
  <c r="H5" i="74"/>
  <c r="F5" i="74"/>
  <c r="D5" i="74"/>
  <c r="J4" i="74"/>
  <c r="H4" i="74"/>
  <c r="F4" i="74"/>
  <c r="D4" i="74"/>
  <c r="J3" i="74"/>
  <c r="H3" i="74"/>
  <c r="H23" i="74" s="1"/>
  <c r="F3" i="74"/>
  <c r="F23" i="74" s="1"/>
  <c r="J2" i="74"/>
  <c r="H2" i="74"/>
  <c r="F2" i="74"/>
  <c r="D2" i="74"/>
  <c r="J21" i="75"/>
  <c r="H21" i="75"/>
  <c r="F21" i="75"/>
  <c r="D21" i="75"/>
  <c r="J20" i="75"/>
  <c r="H20" i="75"/>
  <c r="F20" i="75"/>
  <c r="D20" i="75"/>
  <c r="J19" i="75"/>
  <c r="H19" i="75"/>
  <c r="F19" i="75"/>
  <c r="D19" i="75"/>
  <c r="J18" i="75"/>
  <c r="H18" i="75"/>
  <c r="F18" i="75"/>
  <c r="D18" i="75"/>
  <c r="J17" i="75"/>
  <c r="H17" i="75"/>
  <c r="F17" i="75"/>
  <c r="D17" i="75"/>
  <c r="J16" i="75"/>
  <c r="H16" i="75"/>
  <c r="F16" i="75"/>
  <c r="D16" i="75"/>
  <c r="J15" i="75"/>
  <c r="H15" i="75"/>
  <c r="F15" i="75"/>
  <c r="D15" i="75"/>
  <c r="J14" i="75"/>
  <c r="H14" i="75"/>
  <c r="F14" i="75"/>
  <c r="D14" i="75"/>
  <c r="J13" i="75"/>
  <c r="H13" i="75"/>
  <c r="F13" i="75"/>
  <c r="D13" i="75"/>
  <c r="J12" i="75"/>
  <c r="H12" i="75"/>
  <c r="F12" i="75"/>
  <c r="D12" i="75"/>
  <c r="J11" i="75"/>
  <c r="H11" i="75"/>
  <c r="F11" i="75"/>
  <c r="D11" i="75"/>
  <c r="J10" i="75"/>
  <c r="H10" i="75"/>
  <c r="F10" i="75"/>
  <c r="D10" i="75"/>
  <c r="J9" i="75"/>
  <c r="H9" i="75"/>
  <c r="F9" i="75"/>
  <c r="D9" i="75"/>
  <c r="J8" i="75"/>
  <c r="H8" i="75"/>
  <c r="F8" i="75"/>
  <c r="D8" i="75"/>
  <c r="J7" i="75"/>
  <c r="H7" i="75"/>
  <c r="F7" i="75"/>
  <c r="D7" i="75"/>
  <c r="J6" i="75"/>
  <c r="H6" i="75"/>
  <c r="F6" i="75"/>
  <c r="D6" i="75"/>
  <c r="J5" i="75"/>
  <c r="H5" i="75"/>
  <c r="F5" i="75"/>
  <c r="D5" i="75"/>
  <c r="J4" i="75"/>
  <c r="H4" i="75"/>
  <c r="F4" i="75"/>
  <c r="D4" i="75"/>
  <c r="J3" i="75"/>
  <c r="H3" i="75"/>
  <c r="F3" i="75"/>
  <c r="F23" i="75" s="1"/>
  <c r="D3" i="75"/>
  <c r="J2" i="75"/>
  <c r="H2" i="75"/>
  <c r="H23" i="75" s="1"/>
  <c r="F2" i="75"/>
  <c r="D2" i="75"/>
  <c r="L15" i="73"/>
  <c r="K14" i="73"/>
  <c r="L14" i="73" s="1"/>
  <c r="J14" i="73"/>
  <c r="H14" i="73"/>
  <c r="F14" i="73"/>
  <c r="D14" i="73"/>
  <c r="K13" i="73"/>
  <c r="L13" i="73" s="1"/>
  <c r="J13" i="73"/>
  <c r="H13" i="73"/>
  <c r="F13" i="73"/>
  <c r="D13" i="73"/>
  <c r="K12" i="73"/>
  <c r="L12" i="73" s="1"/>
  <c r="J12" i="73"/>
  <c r="H12" i="73"/>
  <c r="F12" i="73"/>
  <c r="D12" i="73"/>
  <c r="K11" i="73"/>
  <c r="L11" i="73" s="1"/>
  <c r="J11" i="73"/>
  <c r="H11" i="73"/>
  <c r="F11" i="73"/>
  <c r="D11" i="73"/>
  <c r="K10" i="73"/>
  <c r="L10" i="73" s="1"/>
  <c r="J10" i="73"/>
  <c r="H10" i="73"/>
  <c r="F10" i="73"/>
  <c r="D10" i="73"/>
  <c r="K9" i="73"/>
  <c r="L9" i="73" s="1"/>
  <c r="J9" i="73"/>
  <c r="H9" i="73"/>
  <c r="F9" i="73"/>
  <c r="D9" i="73"/>
  <c r="K8" i="73"/>
  <c r="L8" i="73" s="1"/>
  <c r="J8" i="73"/>
  <c r="H8" i="73"/>
  <c r="F8" i="73"/>
  <c r="D8" i="73"/>
  <c r="K7" i="73"/>
  <c r="L7" i="73" s="1"/>
  <c r="J7" i="73"/>
  <c r="H7" i="73"/>
  <c r="F7" i="73"/>
  <c r="D7" i="73"/>
  <c r="K6" i="73"/>
  <c r="L6" i="73" s="1"/>
  <c r="J6" i="73"/>
  <c r="H6" i="73"/>
  <c r="F6" i="73"/>
  <c r="D6" i="73"/>
  <c r="K5" i="73"/>
  <c r="L5" i="73" s="1"/>
  <c r="J5" i="73"/>
  <c r="F5" i="73"/>
  <c r="D5" i="73"/>
  <c r="K4" i="73"/>
  <c r="L4" i="73" s="1"/>
  <c r="J4" i="73"/>
  <c r="H4" i="73"/>
  <c r="F4" i="73"/>
  <c r="D4" i="73"/>
  <c r="L3" i="73"/>
  <c r="J3" i="73"/>
  <c r="H3" i="73"/>
  <c r="F3" i="73"/>
  <c r="D3" i="73"/>
  <c r="K2" i="73"/>
  <c r="L2" i="73" s="1"/>
  <c r="J2" i="73"/>
  <c r="H2" i="73"/>
  <c r="F2" i="73"/>
  <c r="D2" i="73"/>
  <c r="B144" i="72"/>
  <c r="D143" i="72"/>
  <c r="E143" i="72" s="1"/>
  <c r="G12" i="71"/>
  <c r="E12" i="71"/>
  <c r="C12" i="7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H27" i="60" l="1"/>
  <c r="D23" i="75"/>
  <c r="J23" i="75"/>
  <c r="J25" i="75" s="1"/>
  <c r="C4" i="60"/>
  <c r="D4" i="60" s="1"/>
  <c r="H10" i="60"/>
  <c r="D23" i="74"/>
  <c r="J23" i="74"/>
  <c r="J25" i="74" s="1"/>
  <c r="D142" i="72"/>
  <c r="F16" i="73"/>
  <c r="H16" i="73"/>
  <c r="D16" i="73"/>
  <c r="J16" i="73"/>
  <c r="J18" i="73" s="1"/>
  <c r="L16" i="73"/>
  <c r="L18" i="73" s="1"/>
  <c r="H328" i="18"/>
  <c r="X523" i="18"/>
  <c r="E142" i="72" l="1"/>
  <c r="D141" i="72"/>
  <c r="X522" i="18"/>
  <c r="X521" i="18"/>
  <c r="X520" i="18"/>
  <c r="E141" i="72" l="1"/>
  <c r="D140" i="72"/>
  <c r="W144" i="18"/>
  <c r="D139" i="72" l="1"/>
  <c r="E140" i="72"/>
  <c r="D138" i="72" l="1"/>
  <c r="E139" i="72"/>
  <c r="E138" i="72" l="1"/>
  <c r="D137" i="72"/>
  <c r="E137" i="72" l="1"/>
  <c r="D136" i="72"/>
  <c r="D135" i="72" l="1"/>
  <c r="E136" i="72"/>
  <c r="P34" i="18"/>
  <c r="P33" i="18"/>
  <c r="D134" i="72" l="1"/>
  <c r="E135" i="72"/>
  <c r="E134" i="72" l="1"/>
  <c r="D133" i="72"/>
  <c r="D132" i="72" l="1"/>
  <c r="E133" i="72"/>
  <c r="E132" i="72" l="1"/>
  <c r="D131" i="72"/>
  <c r="X519" i="18"/>
  <c r="E131" i="72" l="1"/>
  <c r="D130" i="72"/>
  <c r="R18" i="63"/>
  <c r="R17" i="63"/>
  <c r="R16" i="63"/>
  <c r="E130" i="72" l="1"/>
  <c r="D129" i="72"/>
  <c r="X518" i="18"/>
  <c r="D128" i="72" l="1"/>
  <c r="E129" i="72"/>
  <c r="E128" i="72" l="1"/>
  <c r="D127" i="72"/>
  <c r="E127" i="72" l="1"/>
  <c r="D126" i="72"/>
  <c r="X517" i="18"/>
  <c r="X516" i="18"/>
  <c r="D125" i="72" l="1"/>
  <c r="E126" i="72"/>
  <c r="D124" i="72" l="1"/>
  <c r="E125" i="72"/>
  <c r="E124" i="72" l="1"/>
  <c r="D123" i="72"/>
  <c r="G10" i="63"/>
  <c r="E123" i="72" l="1"/>
  <c r="D122" i="72"/>
  <c r="D121" i="72" l="1"/>
  <c r="E122" i="72"/>
  <c r="D120" i="72" l="1"/>
  <c r="E121" i="72"/>
  <c r="E120" i="72" l="1"/>
  <c r="D119" i="72"/>
  <c r="E119" i="72" l="1"/>
  <c r="D118" i="72"/>
  <c r="D117" i="72" l="1"/>
  <c r="E118" i="72"/>
  <c r="D116" i="72" l="1"/>
  <c r="E117" i="72"/>
  <c r="E116" i="72" l="1"/>
  <c r="D115" i="72"/>
  <c r="E115" i="72" l="1"/>
  <c r="D114" i="72"/>
  <c r="F129" i="60"/>
  <c r="J128" i="60" s="1"/>
  <c r="D113" i="72" l="1"/>
  <c r="E114" i="72"/>
  <c r="G128" i="60"/>
  <c r="H128" i="60" s="1"/>
  <c r="I128" i="60"/>
  <c r="F130" i="60"/>
  <c r="D112" i="72" l="1"/>
  <c r="E113" i="72"/>
  <c r="J129" i="60"/>
  <c r="I129" i="60"/>
  <c r="G129" i="60"/>
  <c r="H129" i="60" s="1"/>
  <c r="F132" i="60"/>
  <c r="F131" i="60"/>
  <c r="E112" i="72" l="1"/>
  <c r="E144" i="72" s="1"/>
  <c r="D111" i="72"/>
  <c r="J130" i="60"/>
  <c r="I130" i="60"/>
  <c r="G130" i="60"/>
  <c r="H130" i="60" s="1"/>
  <c r="J131" i="60"/>
  <c r="I131" i="60"/>
  <c r="G131" i="60"/>
  <c r="H131" i="60" s="1"/>
  <c r="G125" i="18"/>
  <c r="E111" i="72" l="1"/>
  <c r="D110" i="72"/>
  <c r="X514" i="18"/>
  <c r="D109" i="72" l="1"/>
  <c r="E110" i="72"/>
  <c r="X513" i="18"/>
  <c r="I53" i="63"/>
  <c r="H53" i="63"/>
  <c r="P29" i="18"/>
  <c r="N29" i="18" s="1"/>
  <c r="P28" i="18"/>
  <c r="N28" i="18" s="1"/>
  <c r="E109" i="72" l="1"/>
  <c r="D108" i="72"/>
  <c r="E108" i="72" l="1"/>
  <c r="D107" i="72"/>
  <c r="X512" i="18"/>
  <c r="E107" i="72" l="1"/>
  <c r="D106" i="72"/>
  <c r="E106" i="72" l="1"/>
  <c r="D105" i="72"/>
  <c r="D104" i="72" l="1"/>
  <c r="E105" i="72"/>
  <c r="E104" i="72" l="1"/>
  <c r="D103" i="72"/>
  <c r="X511" i="18"/>
  <c r="AB83" i="18"/>
  <c r="O41" i="18" s="1"/>
  <c r="T84" i="18"/>
  <c r="X510" i="18"/>
  <c r="X509" i="18"/>
  <c r="E103" i="72" l="1"/>
  <c r="D102" i="72"/>
  <c r="E118" i="63"/>
  <c r="X508" i="18"/>
  <c r="D101" i="72" l="1"/>
  <c r="E102" i="72"/>
  <c r="S594" i="18"/>
  <c r="X507" i="18"/>
  <c r="AB108" i="18"/>
  <c r="AB109" i="18"/>
  <c r="AB110" i="18"/>
  <c r="AB111" i="18"/>
  <c r="AB112" i="18"/>
  <c r="AB107" i="18"/>
  <c r="AB56" i="18"/>
  <c r="O34" i="18" l="1"/>
  <c r="O52" i="18"/>
  <c r="D100" i="72"/>
  <c r="E101" i="72"/>
  <c r="I54" i="63"/>
  <c r="I52" i="63"/>
  <c r="H54" i="63"/>
  <c r="H52" i="63"/>
  <c r="G54" i="63"/>
  <c r="G52" i="63"/>
  <c r="G53" i="63"/>
  <c r="Q66" i="18" l="1"/>
  <c r="P65" i="18"/>
  <c r="P67" i="18" s="1"/>
  <c r="Q65" i="18"/>
  <c r="E100" i="72"/>
  <c r="D99" i="72"/>
  <c r="J52" i="63"/>
  <c r="K52" i="63" s="1"/>
  <c r="Q67" i="18" l="1"/>
  <c r="E99" i="72"/>
  <c r="D98" i="72"/>
  <c r="E98" i="72" l="1"/>
  <c r="D97" i="72"/>
  <c r="D117" i="63"/>
  <c r="E117" i="63"/>
  <c r="G117" i="63" s="1"/>
  <c r="D118" i="63"/>
  <c r="G118" i="63"/>
  <c r="D119" i="63"/>
  <c r="E119" i="63"/>
  <c r="G119" i="63" s="1"/>
  <c r="D120" i="63"/>
  <c r="E120" i="63"/>
  <c r="G120" i="63" s="1"/>
  <c r="D121" i="63"/>
  <c r="E121" i="63"/>
  <c r="G121" i="63" s="1"/>
  <c r="D122" i="63"/>
  <c r="E122" i="63"/>
  <c r="G122" i="63" s="1"/>
  <c r="D123" i="63"/>
  <c r="E123" i="63"/>
  <c r="G123" i="63" s="1"/>
  <c r="D124" i="63"/>
  <c r="E124" i="63"/>
  <c r="G124" i="63" s="1"/>
  <c r="D125" i="63"/>
  <c r="E125" i="63"/>
  <c r="G125" i="63" s="1"/>
  <c r="D126" i="63"/>
  <c r="E126" i="63"/>
  <c r="G126" i="63" s="1"/>
  <c r="D127" i="63"/>
  <c r="E127" i="63"/>
  <c r="G127" i="63" s="1"/>
  <c r="D128" i="63"/>
  <c r="E128" i="63"/>
  <c r="G128" i="63" s="1"/>
  <c r="D129" i="63"/>
  <c r="E129" i="63"/>
  <c r="G129" i="63" s="1"/>
  <c r="D130" i="63"/>
  <c r="E130" i="63"/>
  <c r="G130" i="63" s="1"/>
  <c r="D131" i="63"/>
  <c r="E131" i="63"/>
  <c r="G131" i="63" s="1"/>
  <c r="D132" i="63"/>
  <c r="E132" i="63"/>
  <c r="G132" i="63" s="1"/>
  <c r="D133" i="63"/>
  <c r="E133" i="63"/>
  <c r="G133" i="63" s="1"/>
  <c r="D134" i="63"/>
  <c r="E134" i="63"/>
  <c r="G134" i="63" s="1"/>
  <c r="D135" i="63"/>
  <c r="E135" i="63"/>
  <c r="D136" i="63"/>
  <c r="E136" i="63"/>
  <c r="D137" i="63"/>
  <c r="E137" i="63"/>
  <c r="D138" i="63"/>
  <c r="E138" i="63"/>
  <c r="E116" i="63"/>
  <c r="G116" i="63" s="1"/>
  <c r="D116" i="63"/>
  <c r="D96" i="72" l="1"/>
  <c r="E97" i="72"/>
  <c r="X506"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X505" i="18"/>
  <c r="D92" i="72" l="1"/>
  <c r="E93" i="72"/>
  <c r="D176" i="58"/>
  <c r="E92" i="72" l="1"/>
  <c r="D91" i="72"/>
  <c r="P35" i="18"/>
  <c r="E91" i="72" l="1"/>
  <c r="D90" i="72"/>
  <c r="X504" i="18"/>
  <c r="D89" i="72" l="1"/>
  <c r="E90" i="72"/>
  <c r="D88" i="72" l="1"/>
  <c r="E89" i="72"/>
  <c r="X503" i="18"/>
  <c r="I24" i="63"/>
  <c r="I25" i="63"/>
  <c r="G25" i="63"/>
  <c r="H25" i="63"/>
  <c r="E88" i="72" l="1"/>
  <c r="D87" i="72"/>
  <c r="J25" i="63"/>
  <c r="K25" i="63" s="1"/>
  <c r="X502" i="18"/>
  <c r="D86" i="72" l="1"/>
  <c r="E87" i="72"/>
  <c r="E86" i="72" l="1"/>
  <c r="D85" i="72"/>
  <c r="E85" i="72" l="1"/>
  <c r="D84" i="72"/>
  <c r="D83" i="72" l="1"/>
  <c r="E84" i="72"/>
  <c r="X501" i="18"/>
  <c r="D82" i="72" l="1"/>
  <c r="E83" i="72"/>
  <c r="D81" i="72" l="1"/>
  <c r="E82" i="72"/>
  <c r="D80" i="72" l="1"/>
  <c r="E81" i="72"/>
  <c r="X500" i="18"/>
  <c r="T116" i="18"/>
  <c r="D79" i="72" l="1"/>
  <c r="E80" i="72"/>
  <c r="X499" i="18"/>
  <c r="T115" i="18"/>
  <c r="D78" i="72" l="1"/>
  <c r="E79" i="72"/>
  <c r="X498" i="18"/>
  <c r="T114" i="18"/>
  <c r="D77" i="72" l="1"/>
  <c r="E78" i="72"/>
  <c r="X497" i="18"/>
  <c r="E77" i="72" l="1"/>
  <c r="D76" i="72"/>
  <c r="D75" i="72" l="1"/>
  <c r="E76" i="72"/>
  <c r="D74" i="72" l="1"/>
  <c r="E75" i="72"/>
  <c r="E74" i="72" l="1"/>
  <c r="D73" i="72"/>
  <c r="E73" i="72" l="1"/>
  <c r="D72" i="72"/>
  <c r="D71" i="72" l="1"/>
  <c r="E72" i="72"/>
  <c r="X496" i="18"/>
  <c r="I32" i="63"/>
  <c r="I33" i="63"/>
  <c r="D70" i="72" l="1"/>
  <c r="E71" i="72"/>
  <c r="J33" i="63"/>
  <c r="K33" i="63" s="1"/>
  <c r="X495" i="18"/>
  <c r="E70" i="72" l="1"/>
  <c r="D69" i="72"/>
  <c r="X494" i="18"/>
  <c r="E69" i="72" l="1"/>
  <c r="D68" i="72"/>
  <c r="T113" i="18"/>
  <c r="G32" i="63"/>
  <c r="N33" i="63"/>
  <c r="I30" i="63"/>
  <c r="I31" i="63"/>
  <c r="G31" i="63"/>
  <c r="H31" i="63"/>
  <c r="D67" i="72" l="1"/>
  <c r="E68" i="72"/>
  <c r="N32" i="63"/>
  <c r="J32" i="63"/>
  <c r="K32" i="63" s="1"/>
  <c r="J31" i="63"/>
  <c r="K31" i="63" s="1"/>
  <c r="G30" i="63"/>
  <c r="H30" i="63"/>
  <c r="D66" i="72" l="1"/>
  <c r="E67" i="72"/>
  <c r="J30" i="63"/>
  <c r="K30" i="63" s="1"/>
  <c r="N31" i="63"/>
  <c r="X493"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X492" i="18"/>
  <c r="E64" i="72" l="1"/>
  <c r="D63" i="72"/>
  <c r="I10" i="63"/>
  <c r="H10" i="63"/>
  <c r="E63" i="72" l="1"/>
  <c r="D62" i="72"/>
  <c r="J10" i="63"/>
  <c r="K10" i="63" s="1"/>
  <c r="D61" i="72" l="1"/>
  <c r="E62" i="72"/>
  <c r="D60" i="72" l="1"/>
  <c r="E61" i="72"/>
  <c r="D59" i="72" l="1"/>
  <c r="E60" i="72"/>
  <c r="G7" i="63"/>
  <c r="H7" i="63"/>
  <c r="I7" i="63"/>
  <c r="G8" i="63"/>
  <c r="H8" i="63"/>
  <c r="I8" i="63"/>
  <c r="G9" i="63"/>
  <c r="H9" i="63"/>
  <c r="N10" i="63" s="1"/>
  <c r="I9" i="63"/>
  <c r="E59" i="72" l="1"/>
  <c r="D58" i="72"/>
  <c r="J8" i="63"/>
  <c r="K8" i="63" s="1"/>
  <c r="J7" i="63"/>
  <c r="K7" i="63" s="1"/>
  <c r="J9" i="63"/>
  <c r="K9" i="63" s="1"/>
  <c r="N9" i="63"/>
  <c r="N8" i="63"/>
  <c r="D57" i="72" l="1"/>
  <c r="E58" i="72"/>
  <c r="I29" i="63"/>
  <c r="E57" i="72" l="1"/>
  <c r="D56" i="72"/>
  <c r="I28" i="63"/>
  <c r="E56" i="72" l="1"/>
  <c r="D55" i="72"/>
  <c r="E55" i="72" l="1"/>
  <c r="D54" i="72"/>
  <c r="E54" i="72" l="1"/>
  <c r="D53" i="72"/>
  <c r="AM278" i="18"/>
  <c r="AM277" i="18" s="1"/>
  <c r="AM276" i="18" l="1"/>
  <c r="AN277" i="18"/>
  <c r="D52" i="72"/>
  <c r="E53" i="72"/>
  <c r="AM275" i="18" l="1"/>
  <c r="AN276" i="18"/>
  <c r="E52" i="72"/>
  <c r="D51" i="72"/>
  <c r="AM274" i="18" l="1"/>
  <c r="AN275" i="18"/>
  <c r="E51" i="72"/>
  <c r="D50" i="72"/>
  <c r="N53" i="63"/>
  <c r="N54" i="63"/>
  <c r="V31" i="63"/>
  <c r="V32" i="63"/>
  <c r="R19" i="63"/>
  <c r="U34" i="63"/>
  <c r="V34" i="63"/>
  <c r="AM273" i="18" l="1"/>
  <c r="AN274" i="18"/>
  <c r="D49" i="72"/>
  <c r="E50" i="72"/>
  <c r="J54" i="63"/>
  <c r="K54" i="63" s="1"/>
  <c r="J53" i="63"/>
  <c r="K53" i="63" s="1"/>
  <c r="AM272" i="18" l="1"/>
  <c r="AN273" i="18"/>
  <c r="D48" i="72"/>
  <c r="E49" i="72"/>
  <c r="M83" i="63"/>
  <c r="M79" i="63"/>
  <c r="M80" i="63"/>
  <c r="AM271" i="18" l="1"/>
  <c r="AN272" i="18"/>
  <c r="E48" i="72"/>
  <c r="D47" i="72"/>
  <c r="H92" i="63"/>
  <c r="AM270" i="18" l="1"/>
  <c r="AN271" i="18"/>
  <c r="E47" i="72"/>
  <c r="D46" i="72"/>
  <c r="J2" i="60"/>
  <c r="AM269" i="18" l="1"/>
  <c r="AN270" i="18"/>
  <c r="D45" i="72"/>
  <c r="E46" i="72"/>
  <c r="X488" i="18"/>
  <c r="X483" i="18"/>
  <c r="X484" i="18"/>
  <c r="X485" i="18"/>
  <c r="X486" i="18"/>
  <c r="X487" i="18"/>
  <c r="X489" i="18"/>
  <c r="X490" i="18"/>
  <c r="X491" i="18"/>
  <c r="X515" i="18"/>
  <c r="AM268" i="18" l="1"/>
  <c r="AN269" i="18"/>
  <c r="D44" i="72"/>
  <c r="E45" i="72"/>
  <c r="X482" i="18"/>
  <c r="AM267" i="18" l="1"/>
  <c r="AN268" i="18"/>
  <c r="D43" i="72"/>
  <c r="E44" i="72"/>
  <c r="F3" i="60"/>
  <c r="AM266" i="18" l="1"/>
  <c r="AN267" i="18"/>
  <c r="E43" i="72"/>
  <c r="D42" i="72"/>
  <c r="M82" i="63"/>
  <c r="M81" i="63"/>
  <c r="F30" i="60"/>
  <c r="AM265" i="18" l="1"/>
  <c r="AN266" i="18"/>
  <c r="E42" i="72"/>
  <c r="D41" i="72"/>
  <c r="AM264" i="18" l="1"/>
  <c r="AN265" i="18"/>
  <c r="D40" i="72"/>
  <c r="E41" i="72"/>
  <c r="F2" i="60"/>
  <c r="F10" i="60" s="1"/>
  <c r="AM263" i="18" l="1"/>
  <c r="AN264" i="18"/>
  <c r="E40" i="72"/>
  <c r="D39" i="72"/>
  <c r="H91" i="63"/>
  <c r="AM262" i="18" l="1"/>
  <c r="AN263" i="18"/>
  <c r="E39" i="72"/>
  <c r="D38" i="72"/>
  <c r="X481" i="18"/>
  <c r="H90" i="63"/>
  <c r="N52" i="63"/>
  <c r="AM261" i="18" l="1"/>
  <c r="AN262" i="18"/>
  <c r="D37" i="72"/>
  <c r="E38" i="72"/>
  <c r="M78" i="63"/>
  <c r="N53" i="18"/>
  <c r="AM260" i="18" l="1"/>
  <c r="AN261" i="18"/>
  <c r="D36" i="72"/>
  <c r="E37" i="72"/>
  <c r="X480" i="18"/>
  <c r="X479" i="18"/>
  <c r="X478" i="18"/>
  <c r="AM259" i="18" l="1"/>
  <c r="AN260"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M71" i="63"/>
  <c r="M72" i="63"/>
  <c r="M73" i="63"/>
  <c r="M74" i="63"/>
  <c r="M75" i="63"/>
  <c r="M76" i="63"/>
  <c r="M77" i="63"/>
  <c r="M70" i="63"/>
  <c r="H89" i="63"/>
  <c r="AM258" i="18" l="1"/>
  <c r="AN259" i="18"/>
  <c r="H41" i="68"/>
  <c r="E35" i="72"/>
  <c r="D34" i="72"/>
  <c r="I29" i="68"/>
  <c r="I41" i="68" s="1"/>
  <c r="X477" i="18"/>
  <c r="H88" i="63"/>
  <c r="I23" i="63"/>
  <c r="G24" i="63"/>
  <c r="H24" i="63"/>
  <c r="AM257" i="18" l="1"/>
  <c r="AN258" i="18"/>
  <c r="E34" i="72"/>
  <c r="D33" i="72"/>
  <c r="N25" i="63"/>
  <c r="J24" i="63"/>
  <c r="K24" i="63" s="1"/>
  <c r="AM256" i="18" l="1"/>
  <c r="AN257" i="18"/>
  <c r="D32" i="72"/>
  <c r="E33" i="72"/>
  <c r="I77" i="63"/>
  <c r="X476" i="18"/>
  <c r="AM255" i="18" l="1"/>
  <c r="AN256" i="18"/>
  <c r="E32" i="72"/>
  <c r="D31" i="72"/>
  <c r="X475" i="18"/>
  <c r="N58" i="18"/>
  <c r="N32" i="18"/>
  <c r="AM254" i="18" l="1"/>
  <c r="AN255" i="18"/>
  <c r="E31" i="72"/>
  <c r="D30" i="72"/>
  <c r="G29" i="63"/>
  <c r="H29" i="63"/>
  <c r="N30" i="63" s="1"/>
  <c r="G28" i="63"/>
  <c r="H28" i="63"/>
  <c r="AM253" i="18" l="1"/>
  <c r="AN254" i="18"/>
  <c r="D29" i="72"/>
  <c r="E30" i="72"/>
  <c r="N29" i="63"/>
  <c r="J29" i="63"/>
  <c r="K29" i="63" s="1"/>
  <c r="J28" i="63"/>
  <c r="K28" i="63" s="1"/>
  <c r="X474" i="18"/>
  <c r="I27" i="63"/>
  <c r="G27" i="63"/>
  <c r="H27" i="63"/>
  <c r="N28" i="63" s="1"/>
  <c r="AM252" i="18" l="1"/>
  <c r="AN253" i="18"/>
  <c r="D28" i="72"/>
  <c r="E29" i="72"/>
  <c r="J27" i="63"/>
  <c r="K27" i="63" s="1"/>
  <c r="AM251" i="18" l="1"/>
  <c r="AN252" i="18"/>
  <c r="E28" i="72"/>
  <c r="D27" i="72"/>
  <c r="X473" i="18"/>
  <c r="N26" i="63"/>
  <c r="I26" i="63"/>
  <c r="H26" i="63"/>
  <c r="N27" i="63" s="1"/>
  <c r="G26" i="63"/>
  <c r="AM250" i="18" l="1"/>
  <c r="AN251" i="18"/>
  <c r="E27" i="72"/>
  <c r="D26" i="72"/>
  <c r="J26" i="63"/>
  <c r="K26" i="63" s="1"/>
  <c r="AM249" i="18" l="1"/>
  <c r="AN250" i="18"/>
  <c r="D25" i="72"/>
  <c r="E26" i="72"/>
  <c r="H77" i="63"/>
  <c r="G77" i="63"/>
  <c r="I76" i="63"/>
  <c r="G76" i="63"/>
  <c r="H76" i="63"/>
  <c r="AM248" i="18" l="1"/>
  <c r="AN249" i="18"/>
  <c r="D24" i="72"/>
  <c r="E25" i="72"/>
  <c r="J77" i="63"/>
  <c r="K77" i="63" s="1"/>
  <c r="J76" i="63"/>
  <c r="K76" i="63" s="1"/>
  <c r="AM247" i="18" l="1"/>
  <c r="AN248" i="18"/>
  <c r="E24" i="72"/>
  <c r="D23" i="72"/>
  <c r="Q35" i="63"/>
  <c r="E23" i="72" l="1"/>
  <c r="D22" i="72"/>
  <c r="G23" i="63"/>
  <c r="H23" i="63"/>
  <c r="N24" i="63" s="1"/>
  <c r="E22" i="72" l="1"/>
  <c r="D21" i="72"/>
  <c r="J23" i="63"/>
  <c r="K23" i="63" s="1"/>
  <c r="I22" i="63"/>
  <c r="G22" i="63"/>
  <c r="H22" i="63"/>
  <c r="N23" i="63" s="1"/>
  <c r="D20" i="72" l="1"/>
  <c r="E21" i="72"/>
  <c r="J22" i="63"/>
  <c r="K22" i="63" s="1"/>
  <c r="X472" i="18"/>
  <c r="E20" i="72" l="1"/>
  <c r="D19" i="72"/>
  <c r="X471" i="18"/>
  <c r="E19" i="72" l="1"/>
  <c r="D18" i="72"/>
  <c r="D17" i="72" l="1"/>
  <c r="E18" i="72"/>
  <c r="M145" i="18"/>
  <c r="L145" i="18"/>
  <c r="I125" i="18"/>
  <c r="P41" i="18"/>
  <c r="D16" i="72" l="1"/>
  <c r="E17" i="72"/>
  <c r="X470" i="18"/>
  <c r="E16" i="72" l="1"/>
  <c r="D15" i="72"/>
  <c r="X469"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X468" i="18"/>
  <c r="X467" i="18"/>
  <c r="E9" i="72" l="1"/>
  <c r="D8" i="72"/>
  <c r="E8" i="72" l="1"/>
  <c r="D7" i="72"/>
  <c r="E7" i="72" l="1"/>
  <c r="D6" i="72"/>
  <c r="D5" i="72" l="1"/>
  <c r="E6" i="72"/>
  <c r="X466" i="18"/>
  <c r="D4" i="72" l="1"/>
  <c r="E5" i="72"/>
  <c r="X465" i="18"/>
  <c r="E4" i="72" l="1"/>
  <c r="D3" i="72"/>
  <c r="E3" i="72" s="1"/>
  <c r="X464" i="18"/>
  <c r="X463" i="18"/>
  <c r="X462" i="18"/>
  <c r="X461" i="18" l="1"/>
  <c r="I72" i="63" l="1"/>
  <c r="I73" i="63"/>
  <c r="I74" i="63"/>
  <c r="I75" i="63"/>
  <c r="I71" i="63"/>
  <c r="H21" i="67"/>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I11" i="63"/>
  <c r="I12" i="63"/>
  <c r="I13" i="63"/>
  <c r="I14" i="63"/>
  <c r="I15" i="63"/>
  <c r="I16" i="63"/>
  <c r="I17" i="63"/>
  <c r="I18" i="63"/>
  <c r="I19" i="63"/>
  <c r="I20" i="63"/>
  <c r="I21" i="63"/>
  <c r="I5" i="63"/>
  <c r="I6" i="63"/>
  <c r="I4" i="63"/>
  <c r="I2" i="63"/>
  <c r="I3" i="63"/>
  <c r="I1" i="63"/>
  <c r="G17" i="67" l="1"/>
  <c r="H17" i="67" s="1"/>
  <c r="X460" i="18" l="1"/>
  <c r="X459" i="18" l="1"/>
  <c r="X458" i="18"/>
  <c r="X457" i="18" l="1"/>
  <c r="AM246" i="18"/>
  <c r="AM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T229" i="18"/>
  <c r="X456" i="18" l="1"/>
  <c r="X455" i="18" l="1"/>
  <c r="N35" i="18"/>
  <c r="M79" i="18" s="1"/>
  <c r="N56" i="18"/>
  <c r="X453" i="18" l="1"/>
  <c r="AK505" i="18" l="1"/>
  <c r="X452" i="18" l="1"/>
  <c r="X451" i="18"/>
  <c r="X450" i="18"/>
  <c r="X454" i="18"/>
  <c r="X449" i="18"/>
  <c r="X448" i="18"/>
  <c r="P37" i="18"/>
  <c r="N37" i="18" s="1"/>
  <c r="N57" i="18"/>
  <c r="X368" i="18"/>
  <c r="T98" i="18" l="1"/>
  <c r="D2" i="60" l="1"/>
  <c r="X447" i="18" l="1"/>
  <c r="X446" i="18" l="1"/>
  <c r="X445" i="18"/>
  <c r="AM244" i="18"/>
  <c r="AM243" i="18" s="1"/>
  <c r="AM242" i="18" s="1"/>
  <c r="X444" i="18" l="1"/>
  <c r="X443" i="18" l="1"/>
  <c r="G21" i="63"/>
  <c r="H21" i="63"/>
  <c r="N22" i="63" s="1"/>
  <c r="J21" i="63" l="1"/>
  <c r="K21" i="63" s="1"/>
  <c r="G71" i="63"/>
  <c r="H71" i="63"/>
  <c r="J71" i="63" s="1"/>
  <c r="K71" i="63" s="1"/>
  <c r="X440" i="18" l="1"/>
  <c r="X441" i="18"/>
  <c r="X442" i="18"/>
  <c r="X439" i="18" l="1"/>
  <c r="G20" i="63" l="1"/>
  <c r="H20" i="63"/>
  <c r="J20" i="63" l="1"/>
  <c r="K20" i="63" s="1"/>
  <c r="N21" i="63"/>
  <c r="X438" i="18"/>
  <c r="X437" i="18" l="1"/>
  <c r="G19" i="63"/>
  <c r="H19" i="63"/>
  <c r="G18" i="63"/>
  <c r="H18" i="63"/>
  <c r="J18" i="63" l="1"/>
  <c r="K18" i="63" s="1"/>
  <c r="N19" i="63"/>
  <c r="J19" i="63"/>
  <c r="K19" i="63" s="1"/>
  <c r="G48" i="10" l="1"/>
  <c r="G17" i="63" l="1"/>
  <c r="H17" i="63"/>
  <c r="J17" i="63" l="1"/>
  <c r="K17" i="63" s="1"/>
  <c r="N18" i="63"/>
  <c r="B68" i="60"/>
  <c r="B65" i="60"/>
  <c r="G16" i="63" l="1"/>
  <c r="H16" i="63"/>
  <c r="J16" i="63" l="1"/>
  <c r="K16" i="63" s="1"/>
  <c r="X436" i="18"/>
  <c r="N17" i="63" l="1"/>
  <c r="G14" i="63"/>
  <c r="H14" i="63"/>
  <c r="G15" i="63"/>
  <c r="H15" i="63"/>
  <c r="X435" i="18"/>
  <c r="G12" i="63"/>
  <c r="H12" i="63"/>
  <c r="G13" i="63"/>
  <c r="H13" i="63"/>
  <c r="N14" i="63" l="1"/>
  <c r="J14" i="63"/>
  <c r="K14" i="63" s="1"/>
  <c r="N15" i="63"/>
  <c r="J15" i="63"/>
  <c r="K15" i="63" s="1"/>
  <c r="N16" i="63"/>
  <c r="N13" i="63"/>
  <c r="J13" i="63"/>
  <c r="K13" i="63" s="1"/>
  <c r="J12" i="63"/>
  <c r="K12" i="63" s="1"/>
  <c r="X434" i="18"/>
  <c r="W145" i="18" l="1"/>
  <c r="U142" i="18" s="1"/>
  <c r="X433" i="18"/>
  <c r="G11" i="63"/>
  <c r="U141" i="18" l="1"/>
  <c r="U139" i="18"/>
  <c r="U140" i="18"/>
  <c r="P40" i="18"/>
  <c r="G4" i="67" s="1"/>
  <c r="X432" i="18"/>
  <c r="H4" i="67" l="1"/>
  <c r="H10" i="67" s="1"/>
  <c r="G19" i="67"/>
  <c r="H19" i="67" s="1"/>
  <c r="H23" i="67" s="1"/>
  <c r="X431" i="18"/>
  <c r="E26" i="67" l="1"/>
  <c r="H1" i="63"/>
  <c r="J1" i="63" l="1"/>
  <c r="K1" i="63" s="1"/>
  <c r="X428" i="18" l="1"/>
  <c r="X427" i="18" l="1"/>
  <c r="H11" i="63" l="1"/>
  <c r="J11" i="63" s="1"/>
  <c r="K11" i="63" s="1"/>
  <c r="N12" i="63" l="1"/>
  <c r="F58" i="60"/>
  <c r="G57" i="60" s="1"/>
  <c r="G73" i="63" l="1"/>
  <c r="H73" i="63"/>
  <c r="J73" i="63" s="1"/>
  <c r="K73" i="63" s="1"/>
  <c r="G74" i="63"/>
  <c r="H74" i="63"/>
  <c r="J74" i="63" s="1"/>
  <c r="G75" i="63"/>
  <c r="H75" i="63"/>
  <c r="G72" i="63"/>
  <c r="H72" i="63"/>
  <c r="J72" i="63" s="1"/>
  <c r="K72" i="63" s="1"/>
  <c r="X426" i="18"/>
  <c r="J75" i="63" l="1"/>
  <c r="K75" i="63" s="1"/>
  <c r="K74" i="63"/>
  <c r="X425" i="18" l="1"/>
  <c r="G5" i="63"/>
  <c r="H5" i="63"/>
  <c r="G6" i="63"/>
  <c r="H6" i="63"/>
  <c r="G2" i="63"/>
  <c r="H2" i="63"/>
  <c r="G3" i="63"/>
  <c r="H3" i="63"/>
  <c r="J6" i="63" l="1"/>
  <c r="K6" i="63" s="1"/>
  <c r="N7" i="63"/>
  <c r="J2" i="63"/>
  <c r="K2" i="63" s="1"/>
  <c r="J3" i="63"/>
  <c r="K3" i="63" s="1"/>
  <c r="J5" i="63"/>
  <c r="K5" i="63" s="1"/>
  <c r="N6" i="63"/>
  <c r="N3" i="63"/>
  <c r="X424" i="18"/>
  <c r="X423" i="18" l="1"/>
  <c r="O473" i="52" l="1"/>
  <c r="J473" i="52"/>
  <c r="X418" i="18" l="1"/>
  <c r="X419" i="18"/>
  <c r="X420" i="18"/>
  <c r="X421" i="18"/>
  <c r="X422" i="18"/>
  <c r="X429" i="18"/>
  <c r="X430" i="18"/>
  <c r="AM504" i="18"/>
  <c r="AM503" i="18" s="1"/>
  <c r="O472" i="52"/>
  <c r="J472" i="52"/>
  <c r="AM502" i="18" l="1"/>
  <c r="AN503" i="18"/>
  <c r="AN504" i="18"/>
  <c r="AN502" i="18" l="1"/>
  <c r="AM501" i="18"/>
  <c r="AM475" i="18"/>
  <c r="X417" i="18"/>
  <c r="X416" i="18"/>
  <c r="X415" i="18"/>
  <c r="X414" i="18"/>
  <c r="X413" i="18"/>
  <c r="J468" i="52"/>
  <c r="O468" i="52"/>
  <c r="AM500" i="18" l="1"/>
  <c r="AN501" i="18"/>
  <c r="AM474" i="18"/>
  <c r="AN475" i="18"/>
  <c r="G4" i="63"/>
  <c r="H4" i="63"/>
  <c r="N20" i="63" s="1"/>
  <c r="AM499" i="18" l="1"/>
  <c r="AN500" i="18"/>
  <c r="J4" i="63"/>
  <c r="K4" i="63" s="1"/>
  <c r="N5" i="63"/>
  <c r="AN474" i="18"/>
  <c r="AM473" i="18"/>
  <c r="AM498" i="18" l="1"/>
  <c r="AN499" i="18"/>
  <c r="AM472" i="18"/>
  <c r="AN473" i="18"/>
  <c r="AN498" i="18" l="1"/>
  <c r="AM497" i="18"/>
  <c r="AN472" i="18"/>
  <c r="AM471" i="18"/>
  <c r="O465" i="52"/>
  <c r="AM496" i="18" l="1"/>
  <c r="AN497" i="18"/>
  <c r="AM470" i="18"/>
  <c r="AN471" i="18"/>
  <c r="AM495" i="18" l="1"/>
  <c r="AN496" i="18"/>
  <c r="AN470" i="18"/>
  <c r="AM469"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M494" i="18" l="1"/>
  <c r="AN495" i="18"/>
  <c r="P547" i="52"/>
  <c r="P519" i="52"/>
  <c r="P475" i="52"/>
  <c r="P506" i="52"/>
  <c r="AM468" i="18"/>
  <c r="AN469"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4" i="18" l="1"/>
  <c r="AM493" i="18"/>
  <c r="AN468" i="18"/>
  <c r="AM467" i="18"/>
  <c r="X407" i="18"/>
  <c r="X408" i="18"/>
  <c r="X409" i="18"/>
  <c r="X410" i="18"/>
  <c r="X411" i="18"/>
  <c r="X412" i="18"/>
  <c r="AM492" i="18" l="1"/>
  <c r="AN493" i="18"/>
  <c r="AM466" i="18"/>
  <c r="AN466" i="18" s="1"/>
  <c r="AN467" i="18"/>
  <c r="O454" i="52"/>
  <c r="J454" i="52"/>
  <c r="AM491" i="18" l="1"/>
  <c r="AN492" i="18"/>
  <c r="X406" i="18"/>
  <c r="AM490" i="18" l="1"/>
  <c r="AN491" i="18"/>
  <c r="AN490" i="18" l="1"/>
  <c r="AM489" i="18"/>
  <c r="X405" i="18"/>
  <c r="X404" i="18"/>
  <c r="AM488" i="18" l="1"/>
  <c r="AN489" i="18"/>
  <c r="X403" i="18"/>
  <c r="X402" i="18"/>
  <c r="AN488" i="18" l="1"/>
  <c r="AM487" i="18"/>
  <c r="X401" i="18"/>
  <c r="AN487" i="18" l="1"/>
  <c r="AM486" i="18"/>
  <c r="X400" i="18"/>
  <c r="AN486" i="18" l="1"/>
  <c r="AM485" i="18"/>
  <c r="X399" i="18"/>
  <c r="AM484" i="18" l="1"/>
  <c r="AN485" i="18"/>
  <c r="X398" i="18"/>
  <c r="AN484" i="18" l="1"/>
  <c r="AM483" i="18"/>
  <c r="X397" i="18"/>
  <c r="AM482" i="18" l="1"/>
  <c r="AN483" i="18"/>
  <c r="X396" i="18"/>
  <c r="AN482" i="18" l="1"/>
  <c r="AM481"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395" i="18"/>
  <c r="AM480" i="18" l="1"/>
  <c r="AN481" i="18"/>
  <c r="P454" i="52"/>
  <c r="P456" i="52"/>
  <c r="P460" i="52"/>
  <c r="P453" i="52"/>
  <c r="P449" i="52"/>
  <c r="P445" i="52"/>
  <c r="P461" i="52"/>
  <c r="P452" i="52"/>
  <c r="P448" i="52"/>
  <c r="P459" i="52"/>
  <c r="P450" i="52"/>
  <c r="P446" i="52"/>
  <c r="P442" i="52"/>
  <c r="P457" i="52"/>
  <c r="P455" i="52"/>
  <c r="P451" i="52"/>
  <c r="P447" i="52"/>
  <c r="P462" i="52"/>
  <c r="P458" i="52"/>
  <c r="P444" i="52"/>
  <c r="P443" i="52"/>
  <c r="X394" i="18"/>
  <c r="AN480" i="18" l="1"/>
  <c r="AM479" i="18"/>
  <c r="X393" i="18"/>
  <c r="AM478" i="18" l="1"/>
  <c r="AN479" i="18"/>
  <c r="X392" i="18"/>
  <c r="AM477" i="18" l="1"/>
  <c r="AN478" i="18"/>
  <c r="X391" i="18"/>
  <c r="AN477" i="18" l="1"/>
  <c r="AM476" i="18"/>
  <c r="AN476" i="18" s="1"/>
  <c r="X390" i="18"/>
  <c r="G1" i="63" l="1"/>
  <c r="N2" i="63" l="1"/>
  <c r="X389" i="18"/>
  <c r="X388" i="18" l="1"/>
  <c r="X387" i="18" l="1"/>
  <c r="X386" i="18" l="1"/>
  <c r="X385" i="18" l="1"/>
  <c r="X384" i="18" l="1"/>
  <c r="X383" i="18" l="1"/>
  <c r="X379" i="18" l="1"/>
  <c r="X382" i="18"/>
  <c r="X381" i="18" l="1"/>
  <c r="X380" i="18" l="1"/>
  <c r="X378" i="18" l="1"/>
  <c r="X377" i="18" l="1"/>
  <c r="X375" i="18" l="1"/>
  <c r="X374" i="18"/>
  <c r="X373" i="18"/>
  <c r="X370" i="18"/>
  <c r="X371" i="18"/>
  <c r="X372" i="18"/>
  <c r="X369" i="18"/>
  <c r="X376" i="18"/>
  <c r="X367" i="18" l="1"/>
  <c r="X366" i="18" l="1"/>
  <c r="X365" i="18" l="1"/>
  <c r="X364" i="18" l="1"/>
  <c r="X363" i="18" l="1"/>
  <c r="X362" i="18" l="1"/>
  <c r="X361" i="18"/>
  <c r="R36"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0"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59" i="18"/>
  <c r="X358" i="18" l="1"/>
  <c r="X357" i="18" l="1"/>
  <c r="X356" i="18" l="1"/>
  <c r="X355" i="18" l="1"/>
  <c r="X354" i="18"/>
  <c r="X353" i="18"/>
  <c r="X352" i="18"/>
  <c r="X351" i="18" l="1"/>
  <c r="X350" i="18" l="1"/>
  <c r="Q36" i="63" l="1"/>
  <c r="AN278" i="18" l="1"/>
  <c r="AN247" i="18" l="1"/>
  <c r="AN246" i="18" l="1"/>
  <c r="AN245" i="18" l="1"/>
  <c r="AN244" i="18" l="1"/>
  <c r="Q390" i="52"/>
  <c r="O390" i="52"/>
  <c r="J390" i="52"/>
  <c r="AN243" i="18" l="1"/>
  <c r="X349" i="18"/>
  <c r="AM241" i="18" l="1"/>
  <c r="AN242" i="18"/>
  <c r="AM240" i="18" l="1"/>
  <c r="AN241" i="18"/>
  <c r="X348" i="18"/>
  <c r="AM239" i="18" l="1"/>
  <c r="AN240" i="18"/>
  <c r="X347" i="18"/>
  <c r="AM238" i="18" l="1"/>
  <c r="AN239" i="18"/>
  <c r="AM237" i="18" l="1"/>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46" i="18"/>
  <c r="X345" i="18"/>
  <c r="X344" i="18"/>
  <c r="X343" i="18"/>
  <c r="X342" i="18"/>
  <c r="AM234" i="18" l="1"/>
  <c r="AN235" i="18"/>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37" i="18"/>
  <c r="X338" i="18"/>
  <c r="X339" i="18"/>
  <c r="X340" i="18"/>
  <c r="X341" i="18"/>
  <c r="AM230" i="18" l="1"/>
  <c r="AN231" i="18"/>
  <c r="X336" i="18"/>
  <c r="AM229" i="18" l="1"/>
  <c r="AN230" i="18"/>
  <c r="X335" i="18"/>
  <c r="AM228" i="18" l="1"/>
  <c r="AN229" i="18"/>
  <c r="X33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33" i="18"/>
  <c r="P374" i="52" l="1"/>
  <c r="AM227" i="18"/>
  <c r="AN228" i="18"/>
  <c r="P375" i="52"/>
  <c r="P376" i="52"/>
  <c r="P368" i="52"/>
  <c r="P373" i="52"/>
  <c r="P372" i="52"/>
  <c r="P371" i="52"/>
  <c r="P370" i="52"/>
  <c r="P369" i="52"/>
  <c r="X332" i="18"/>
  <c r="AM226" i="18" l="1"/>
  <c r="AN227" i="18"/>
  <c r="AM225" i="18" l="1"/>
  <c r="AN226" i="18"/>
  <c r="AM224" i="18" l="1"/>
  <c r="AN225" i="18"/>
  <c r="AM223" i="18" l="1"/>
  <c r="AN224" i="18"/>
  <c r="X331" i="18"/>
  <c r="AM222" i="18" l="1"/>
  <c r="AN223" i="18"/>
  <c r="O362" i="52"/>
  <c r="J362" i="52"/>
  <c r="AM221" i="18" l="1"/>
  <c r="AN222" i="18"/>
  <c r="AM220" i="18" l="1"/>
  <c r="AN221" i="18"/>
  <c r="AM465" i="18"/>
  <c r="AM219" i="18" l="1"/>
  <c r="AN220" i="18"/>
  <c r="AM464" i="18"/>
  <c r="AN465" i="18"/>
  <c r="M144" i="18"/>
  <c r="L144" i="18"/>
  <c r="AM218" i="18" l="1"/>
  <c r="AN219" i="18"/>
  <c r="AN464" i="18"/>
  <c r="AM463" i="18"/>
  <c r="M359" i="52"/>
  <c r="M360" i="52" s="1"/>
  <c r="X330" i="18"/>
  <c r="AM217" i="18" l="1"/>
  <c r="AN218" i="18"/>
  <c r="AM462" i="18"/>
  <c r="AN463" i="18"/>
  <c r="X329" i="18"/>
  <c r="AM216" i="18" l="1"/>
  <c r="AN217" i="18"/>
  <c r="AN462" i="18"/>
  <c r="AM461" i="18"/>
  <c r="X328" i="18"/>
  <c r="AM215" i="18" l="1"/>
  <c r="AN216" i="18"/>
  <c r="AM460" i="18"/>
  <c r="AN461" i="18"/>
  <c r="M143" i="18"/>
  <c r="L143" i="18"/>
  <c r="X327" i="18"/>
  <c r="AM214" i="18" l="1"/>
  <c r="AN214" i="18" s="1"/>
  <c r="AN215" i="18"/>
  <c r="AN460" i="18"/>
  <c r="AM459" i="18"/>
  <c r="X326" i="18"/>
  <c r="AM458" i="18" l="1"/>
  <c r="AN459" i="18"/>
  <c r="X325" i="18"/>
  <c r="AN458" i="18" l="1"/>
  <c r="AM457" i="18"/>
  <c r="AM456" i="18" l="1"/>
  <c r="AN457" i="18"/>
  <c r="M142" i="18"/>
  <c r="L142" i="18"/>
  <c r="AN456" i="18" l="1"/>
  <c r="AM455" i="18"/>
  <c r="M141" i="18"/>
  <c r="L141" i="18"/>
  <c r="AM454" i="18" l="1"/>
  <c r="AN455" i="18"/>
  <c r="L138" i="18"/>
  <c r="M138" i="18"/>
  <c r="L139" i="18"/>
  <c r="M139" i="18"/>
  <c r="L140" i="18"/>
  <c r="M140" i="18"/>
  <c r="L147" i="18"/>
  <c r="M147" i="18"/>
  <c r="AN454" i="18" l="1"/>
  <c r="AM453" i="18"/>
  <c r="O348" i="52"/>
  <c r="X324" i="18"/>
  <c r="AM452" i="18" l="1"/>
  <c r="AN453" i="18"/>
  <c r="X323" i="18"/>
  <c r="J347" i="52"/>
  <c r="AN452" i="18" l="1"/>
  <c r="AM451" i="18"/>
  <c r="L137" i="18"/>
  <c r="M137" i="18"/>
  <c r="M136" i="18"/>
  <c r="L136" i="18"/>
  <c r="X322" i="18"/>
  <c r="AN451" i="18" l="1"/>
  <c r="AM450" i="18"/>
  <c r="X321" i="18"/>
  <c r="AN450" i="18" l="1"/>
  <c r="AM449" i="18"/>
  <c r="AM448" i="18" l="1"/>
  <c r="AN449" i="18"/>
  <c r="AM447" i="18" l="1"/>
  <c r="AN448" i="18"/>
  <c r="X320" i="18" l="1"/>
  <c r="X319" i="18" l="1"/>
  <c r="X318" i="18" l="1"/>
  <c r="X317" i="18" l="1"/>
  <c r="N348" i="52"/>
  <c r="X31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6" i="18" l="1"/>
  <c r="N36" i="18" s="1"/>
  <c r="N54" i="18" l="1"/>
  <c r="D77" i="60" l="1"/>
  <c r="F77" i="60" s="1"/>
  <c r="D76" i="60"/>
  <c r="F76" i="60" s="1"/>
  <c r="J319" i="52" l="1"/>
  <c r="O319" i="52" l="1"/>
  <c r="X297" i="18" l="1"/>
  <c r="X31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4"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14" i="18"/>
  <c r="D418" i="15" l="1"/>
  <c r="F419" i="15"/>
  <c r="F418" i="15" l="1"/>
  <c r="D417" i="15"/>
  <c r="X313" i="18"/>
  <c r="O305" i="52"/>
  <c r="J305" i="52"/>
  <c r="D416" i="15" l="1"/>
  <c r="F417" i="15"/>
  <c r="D415" i="15" l="1"/>
  <c r="F416" i="15"/>
  <c r="X312" i="18"/>
  <c r="O302" i="52"/>
  <c r="F415" i="15" l="1"/>
  <c r="D414" i="15"/>
  <c r="D413" i="15" l="1"/>
  <c r="F414" i="15"/>
  <c r="D412" i="15" l="1"/>
  <c r="F413" i="15"/>
  <c r="X311" i="18"/>
  <c r="O301" i="52"/>
  <c r="F412" i="15" l="1"/>
  <c r="D411" i="15"/>
  <c r="D410" i="15" l="1"/>
  <c r="F411" i="15"/>
  <c r="X310" i="18"/>
  <c r="X309" i="18"/>
  <c r="J300" i="52"/>
  <c r="F410" i="15" l="1"/>
  <c r="D409" i="15"/>
  <c r="X308" i="18"/>
  <c r="O299" i="52"/>
  <c r="X307" i="18"/>
  <c r="X306" i="18"/>
  <c r="D408" i="15" l="1"/>
  <c r="F409" i="15"/>
  <c r="X305" i="18"/>
  <c r="X304" i="18"/>
  <c r="X303" i="18"/>
  <c r="N41" i="18"/>
  <c r="O298" i="52"/>
  <c r="D407" i="15" l="1"/>
  <c r="F408" i="15"/>
  <c r="J298" i="52"/>
  <c r="F407" i="15" l="1"/>
  <c r="D406" i="15"/>
  <c r="O297" i="52"/>
  <c r="X302" i="18"/>
  <c r="X301" i="18"/>
  <c r="X300" i="18"/>
  <c r="D405" i="15" l="1"/>
  <c r="F406" i="15"/>
  <c r="X299" i="18"/>
  <c r="J296" i="52"/>
  <c r="D404" i="15" l="1"/>
  <c r="F405" i="15"/>
  <c r="J295" i="52"/>
  <c r="F404" i="15" l="1"/>
  <c r="D403" i="15"/>
  <c r="X298"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296"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29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294" i="18"/>
  <c r="D388" i="15" l="1"/>
  <c r="F389" i="15"/>
  <c r="J275" i="52"/>
  <c r="F388" i="15" l="1"/>
  <c r="D387" i="15"/>
  <c r="X293" i="18"/>
  <c r="D386" i="15" l="1"/>
  <c r="F387" i="15"/>
  <c r="J274" i="52"/>
  <c r="F386" i="15" l="1"/>
  <c r="D385" i="15"/>
  <c r="X29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291" i="18"/>
  <c r="X29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8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88" i="18"/>
  <c r="X287" i="18"/>
  <c r="X286" i="18"/>
  <c r="D364" i="15" l="1"/>
  <c r="F365" i="15"/>
  <c r="O223" i="52"/>
  <c r="X285" i="18"/>
  <c r="F364" i="15" l="1"/>
  <c r="D363" i="15"/>
  <c r="J222" i="52"/>
  <c r="X284" i="18"/>
  <c r="D362" i="15" l="1"/>
  <c r="F363" i="15"/>
  <c r="X283" i="18"/>
  <c r="X282" i="18"/>
  <c r="D361" i="15" l="1"/>
  <c r="F362" i="15"/>
  <c r="O220" i="52"/>
  <c r="F361" i="15" l="1"/>
  <c r="D360" i="15"/>
  <c r="X281" i="18"/>
  <c r="X28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7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78" i="18"/>
  <c r="F348" i="15" l="1"/>
  <c r="D347" i="15"/>
  <c r="O210" i="52"/>
  <c r="D346" i="15" l="1"/>
  <c r="F347" i="15"/>
  <c r="J210" i="52"/>
  <c r="D345" i="15" l="1"/>
  <c r="F346" i="15"/>
  <c r="J209" i="52"/>
  <c r="O208" i="52"/>
  <c r="J208" i="52"/>
  <c r="D344" i="15" l="1"/>
  <c r="F345" i="15"/>
  <c r="X277" i="18"/>
  <c r="F344" i="15" l="1"/>
  <c r="D343" i="15"/>
  <c r="O207" i="52"/>
  <c r="J207" i="52"/>
  <c r="X276" i="18"/>
  <c r="D342" i="15" l="1"/>
  <c r="F343" i="15"/>
  <c r="X275" i="18"/>
  <c r="D341" i="15" l="1"/>
  <c r="F342" i="15"/>
  <c r="X274" i="18"/>
  <c r="D340" i="15" l="1"/>
  <c r="F341" i="15"/>
  <c r="O204" i="52"/>
  <c r="F340" i="15" l="1"/>
  <c r="D339" i="15"/>
  <c r="J203" i="52"/>
  <c r="X27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72" i="18"/>
  <c r="X271" i="18"/>
  <c r="X270" i="18"/>
  <c r="J202" i="52"/>
  <c r="D336" i="15" l="1"/>
  <c r="F337" i="15"/>
  <c r="X269" i="18"/>
  <c r="J201" i="52"/>
  <c r="X268" i="18"/>
  <c r="F336" i="15" l="1"/>
  <c r="D335" i="15"/>
  <c r="J200" i="52"/>
  <c r="D334" i="15" l="1"/>
  <c r="F335" i="15"/>
  <c r="X267"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66" i="18"/>
  <c r="F330" i="15" l="1"/>
  <c r="D329" i="15"/>
  <c r="D328" i="15" l="1"/>
  <c r="F329" i="15"/>
  <c r="X265" i="18"/>
  <c r="D327" i="15" l="1"/>
  <c r="F328" i="15"/>
  <c r="AM213" i="18" l="1"/>
  <c r="F327" i="15"/>
  <c r="D326" i="15"/>
  <c r="AM212" i="18" l="1"/>
  <c r="AN213" i="18"/>
  <c r="F326" i="15"/>
  <c r="D325" i="15"/>
  <c r="J195" i="52"/>
  <c r="O195" i="52"/>
  <c r="J194" i="52"/>
  <c r="X264" i="18"/>
  <c r="AM211" i="18" l="1"/>
  <c r="AN212" i="18"/>
  <c r="F325" i="15"/>
  <c r="D324" i="15"/>
  <c r="N194" i="52"/>
  <c r="X263" i="18"/>
  <c r="X262" i="18"/>
  <c r="AM210" i="18" l="1"/>
  <c r="AN211" i="18"/>
  <c r="F324" i="15"/>
  <c r="D323" i="15"/>
  <c r="X261" i="18"/>
  <c r="AN210" i="18" l="1"/>
  <c r="AM209" i="18"/>
  <c r="F323" i="15"/>
  <c r="D322" i="15"/>
  <c r="S136" i="18"/>
  <c r="T136" i="18" s="1"/>
  <c r="AM208" i="18" l="1"/>
  <c r="AN209" i="18"/>
  <c r="F322" i="15"/>
  <c r="D321" i="15"/>
  <c r="X260" i="18"/>
  <c r="AN208" i="18" l="1"/>
  <c r="AM207" i="18"/>
  <c r="F321" i="15"/>
  <c r="D320" i="15"/>
  <c r="X259" i="18"/>
  <c r="O190" i="52"/>
  <c r="J190" i="52"/>
  <c r="AM206" i="18" l="1"/>
  <c r="AN207" i="18"/>
  <c r="F320" i="15"/>
  <c r="D319" i="15"/>
  <c r="X258" i="18"/>
  <c r="AN206" i="18" l="1"/>
  <c r="AM205" i="18"/>
  <c r="F319" i="15"/>
  <c r="D318" i="15"/>
  <c r="N60" i="18"/>
  <c r="N52" i="18"/>
  <c r="M76" i="18" l="1"/>
  <c r="AN205" i="18"/>
  <c r="AM204" i="18"/>
  <c r="F318" i="15"/>
  <c r="D317" i="15"/>
  <c r="O187" i="52"/>
  <c r="X257" i="18"/>
  <c r="AN204" i="18" l="1"/>
  <c r="AM203" i="18"/>
  <c r="F317" i="15"/>
  <c r="D316" i="15"/>
  <c r="J186" i="52"/>
  <c r="X256" i="18"/>
  <c r="X244" i="18"/>
  <c r="X243" i="18"/>
  <c r="AN203" i="18" l="1"/>
  <c r="AM202" i="18"/>
  <c r="F316" i="15"/>
  <c r="D315" i="15"/>
  <c r="J185" i="52"/>
  <c r="X255" i="18"/>
  <c r="AN202" i="18" l="1"/>
  <c r="AM201" i="18"/>
  <c r="F315" i="15"/>
  <c r="D314" i="15"/>
  <c r="AM200" i="18" l="1"/>
  <c r="AN201" i="18"/>
  <c r="F314" i="15"/>
  <c r="D313" i="15"/>
  <c r="AM199" i="18" l="1"/>
  <c r="AN200" i="18"/>
  <c r="F313" i="15"/>
  <c r="D312" i="15"/>
  <c r="N181" i="52"/>
  <c r="AM198" i="18" l="1"/>
  <c r="AN199" i="18"/>
  <c r="F312" i="15"/>
  <c r="D311" i="15"/>
  <c r="X254" i="18"/>
  <c r="B8" i="36"/>
  <c r="AM197" i="18" l="1"/>
  <c r="AN198" i="18"/>
  <c r="F311" i="15"/>
  <c r="D310" i="15"/>
  <c r="O178" i="52"/>
  <c r="J178" i="52"/>
  <c r="AN197" i="18" l="1"/>
  <c r="AM196" i="18"/>
  <c r="F310" i="15"/>
  <c r="D309" i="15"/>
  <c r="N55" i="18"/>
  <c r="X253" i="18"/>
  <c r="O177" i="52"/>
  <c r="J177" i="52"/>
  <c r="G126" i="18" l="1"/>
  <c r="G127" i="18" s="1"/>
  <c r="M77" i="18"/>
  <c r="AN196" i="18"/>
  <c r="AM195" i="18"/>
  <c r="F309" i="15"/>
  <c r="D308" i="15"/>
  <c r="O176" i="52"/>
  <c r="J176" i="52"/>
  <c r="AN195" i="18" l="1"/>
  <c r="AM194" i="18"/>
  <c r="F308" i="15"/>
  <c r="D307" i="15"/>
  <c r="F307" i="15" s="1"/>
  <c r="AN194" i="18" l="1"/>
  <c r="AM193" i="18"/>
  <c r="J174" i="52"/>
  <c r="X252" i="18"/>
  <c r="AN193" i="18" l="1"/>
  <c r="AM192" i="18"/>
  <c r="J168" i="52"/>
  <c r="O168" i="52"/>
  <c r="X251" i="18"/>
  <c r="AN192" i="18" l="1"/>
  <c r="AM191" i="18"/>
  <c r="AN191" i="18" s="1"/>
  <c r="O167" i="52"/>
  <c r="X250" i="18"/>
  <c r="O166" i="52" l="1"/>
  <c r="X249" i="18"/>
  <c r="X248" i="18" l="1"/>
  <c r="O165" i="52"/>
  <c r="J165" i="52"/>
  <c r="AM446" i="18" l="1"/>
  <c r="AN447" i="18"/>
  <c r="O162" i="52"/>
  <c r="J162" i="52"/>
  <c r="X247" i="18"/>
  <c r="AM445" i="18" l="1"/>
  <c r="AN446"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4" i="18" l="1"/>
  <c r="AN445" i="18"/>
  <c r="P202" i="52"/>
  <c r="P203" i="52"/>
  <c r="P204" i="52"/>
  <c r="P201" i="52"/>
  <c r="P200" i="52"/>
  <c r="P190" i="52"/>
  <c r="P187" i="52"/>
  <c r="P177" i="52"/>
  <c r="P186" i="52"/>
  <c r="P185" i="52"/>
  <c r="P176" i="52"/>
  <c r="P162" i="52"/>
  <c r="P166" i="52"/>
  <c r="P174" i="52"/>
  <c r="P168" i="52"/>
  <c r="P165" i="52"/>
  <c r="P167" i="52"/>
  <c r="O160" i="52"/>
  <c r="J160" i="52"/>
  <c r="N160" i="52"/>
  <c r="AN444" i="18" l="1"/>
  <c r="AM443" i="18"/>
  <c r="X246" i="18"/>
  <c r="AM442" i="18" l="1"/>
  <c r="AN443" i="18"/>
  <c r="X245" i="18"/>
  <c r="AN442" i="18" l="1"/>
  <c r="AM441" i="18"/>
  <c r="AM190" i="18"/>
  <c r="AM440" i="18" l="1"/>
  <c r="AN441" i="18"/>
  <c r="AM189" i="18"/>
  <c r="AN190" i="18"/>
  <c r="N159" i="52"/>
  <c r="P160" i="52" s="1"/>
  <c r="X242" i="18"/>
  <c r="AM439" i="18" l="1"/>
  <c r="AN440"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9" i="18" l="1"/>
  <c r="AM438" i="18"/>
  <c r="AM187" i="18"/>
  <c r="AN188" i="18"/>
  <c r="AN438" i="18" l="1"/>
  <c r="AM437" i="18"/>
  <c r="AN187" i="18"/>
  <c r="AM186" i="18"/>
  <c r="J151" i="52"/>
  <c r="AM436" i="18" l="1"/>
  <c r="AN437" i="18"/>
  <c r="AM185" i="18"/>
  <c r="AN186" i="18"/>
  <c r="X241" i="18"/>
  <c r="X240" i="18"/>
  <c r="O150" i="52"/>
  <c r="AM435" i="18" l="1"/>
  <c r="AN436" i="18"/>
  <c r="AN185" i="18"/>
  <c r="AM184" i="18"/>
  <c r="AM434" i="18" l="1"/>
  <c r="AN435" i="18"/>
  <c r="AM183" i="18"/>
  <c r="AN184" i="18"/>
  <c r="Q146" i="52"/>
  <c r="J146" i="52"/>
  <c r="X23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4" i="18" l="1"/>
  <c r="AM433" i="18"/>
  <c r="AN183" i="18"/>
  <c r="AM182" i="18"/>
  <c r="P151" i="52"/>
  <c r="P150" i="52"/>
  <c r="P157" i="52"/>
  <c r="P148" i="52"/>
  <c r="P158" i="52"/>
  <c r="P156" i="52"/>
  <c r="P155" i="52"/>
  <c r="P154" i="52"/>
  <c r="P153" i="52"/>
  <c r="P152" i="52"/>
  <c r="P149" i="52"/>
  <c r="P147" i="52"/>
  <c r="O145" i="52"/>
  <c r="J145" i="52"/>
  <c r="J144" i="52"/>
  <c r="J143" i="52"/>
  <c r="AN433" i="18" l="1"/>
  <c r="AM432" i="18"/>
  <c r="AM181" i="18"/>
  <c r="AN182" i="18"/>
  <c r="X238" i="18"/>
  <c r="AN432" i="18" l="1"/>
  <c r="AM431" i="18"/>
  <c r="AN181" i="18"/>
  <c r="AM180" i="18"/>
  <c r="X237" i="18"/>
  <c r="AM430" i="18" l="1"/>
  <c r="AN431" i="18"/>
  <c r="AN180" i="18"/>
  <c r="AM179" i="18"/>
  <c r="O142" i="52"/>
  <c r="J142" i="52"/>
  <c r="X236" i="18"/>
  <c r="AM429" i="18" l="1"/>
  <c r="AN430" i="18"/>
  <c r="AN179" i="18"/>
  <c r="AM178" i="18"/>
  <c r="AN178" i="18" s="1"/>
  <c r="O140" i="52"/>
  <c r="J140" i="52"/>
  <c r="X235" i="18"/>
  <c r="AN429" i="18" l="1"/>
  <c r="AM428" i="18"/>
  <c r="X234" i="18"/>
  <c r="X233" i="18"/>
  <c r="O139" i="52"/>
  <c r="J139" i="52"/>
  <c r="AN428" i="18" l="1"/>
  <c r="AM427" i="18"/>
  <c r="X232" i="18"/>
  <c r="AN427" i="18" l="1"/>
  <c r="AM426" i="18"/>
  <c r="AN426" i="18" l="1"/>
  <c r="AM425" i="18"/>
  <c r="M41" i="52"/>
  <c r="AN425" i="18" l="1"/>
  <c r="AM424" i="18"/>
  <c r="O135" i="52"/>
  <c r="J135" i="52"/>
  <c r="AN424" i="18" l="1"/>
  <c r="AM423" i="18"/>
  <c r="AM422" i="18" l="1"/>
  <c r="AN423" i="18"/>
  <c r="X231" i="18"/>
  <c r="AM421" i="18" l="1"/>
  <c r="AN422" i="18"/>
  <c r="O132" i="52"/>
  <c r="X230" i="18"/>
  <c r="AN421" i="18" l="1"/>
  <c r="AM420" i="18"/>
  <c r="O131" i="52"/>
  <c r="AM419" i="18" l="1"/>
  <c r="AN420" i="18"/>
  <c r="O130" i="52"/>
  <c r="O129" i="52"/>
  <c r="X229" i="18"/>
  <c r="X228" i="18"/>
  <c r="AM418" i="18" l="1"/>
  <c r="AN419" i="18"/>
  <c r="N129" i="52"/>
  <c r="AM417" i="18" l="1"/>
  <c r="AN418" i="18"/>
  <c r="O127" i="52"/>
  <c r="AM416" i="18" l="1"/>
  <c r="AN417" i="18"/>
  <c r="J126" i="52"/>
  <c r="O126" i="52"/>
  <c r="X227" i="18"/>
  <c r="AN416" i="18" l="1"/>
  <c r="AM415" i="18"/>
  <c r="O125" i="52"/>
  <c r="J125" i="52"/>
  <c r="AN415" i="18" l="1"/>
  <c r="AM414" i="18"/>
  <c r="X226" i="18"/>
  <c r="AM413" i="18" l="1"/>
  <c r="AN414"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25" i="18"/>
  <c r="AM412" i="18" l="1"/>
  <c r="AN413"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11" i="18" l="1"/>
  <c r="AN412" i="18"/>
  <c r="X224" i="18"/>
  <c r="AN411" i="18" l="1"/>
  <c r="AM410" i="18"/>
  <c r="AN410" i="18" l="1"/>
  <c r="AM409" i="18"/>
  <c r="O121" i="52"/>
  <c r="J121" i="52"/>
  <c r="X223" i="18"/>
  <c r="AM408" i="18" l="1"/>
  <c r="AN409" i="18"/>
  <c r="X222" i="18"/>
  <c r="J120" i="52"/>
  <c r="AN408" i="18" l="1"/>
  <c r="AM407" i="18"/>
  <c r="AM406" i="18" l="1"/>
  <c r="AN407" i="18"/>
  <c r="O117" i="52"/>
  <c r="AN406" i="18" l="1"/>
  <c r="AM405" i="18"/>
  <c r="O116" i="52"/>
  <c r="N116" i="52"/>
  <c r="AN405" i="18" l="1"/>
  <c r="AM404" i="18"/>
  <c r="X221" i="18"/>
  <c r="AM403" i="18" l="1"/>
  <c r="AN404"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403" i="18" l="1"/>
  <c r="AM402" i="18"/>
  <c r="AM401" i="18" l="1"/>
  <c r="AN402" i="18"/>
  <c r="AM400" i="18" l="1"/>
  <c r="AN401" i="18"/>
  <c r="AN400" i="18" l="1"/>
  <c r="AM399" i="18"/>
  <c r="O112" i="52"/>
  <c r="AM398" i="18" l="1"/>
  <c r="AN399"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8" i="18" l="1"/>
  <c r="AM397" i="18"/>
  <c r="P120" i="52"/>
  <c r="P121" i="52"/>
  <c r="D305" i="15"/>
  <c r="F305" i="15" s="1"/>
  <c r="P112" i="52"/>
  <c r="P113" i="52"/>
  <c r="P118" i="52"/>
  <c r="P122" i="52"/>
  <c r="P119" i="52"/>
  <c r="P114" i="52"/>
  <c r="P115" i="52"/>
  <c r="O110" i="52"/>
  <c r="AM396" i="18" l="1"/>
  <c r="AN397" i="18"/>
  <c r="D304" i="15"/>
  <c r="F304" i="15" s="1"/>
  <c r="X220" i="18"/>
  <c r="J108" i="52"/>
  <c r="AN396" i="18" l="1"/>
  <c r="AM395" i="18"/>
  <c r="D303" i="15"/>
  <c r="F303" i="15" s="1"/>
  <c r="X219" i="18"/>
  <c r="X218" i="18"/>
  <c r="AN395" i="18" l="1"/>
  <c r="AM394" i="18"/>
  <c r="D302" i="15"/>
  <c r="F302" i="15" s="1"/>
  <c r="O106" i="52"/>
  <c r="J106" i="52"/>
  <c r="AM393" i="18" l="1"/>
  <c r="AN394" i="18"/>
  <c r="D301" i="15"/>
  <c r="F301" i="15" s="1"/>
  <c r="J104" i="52"/>
  <c r="E276" i="15"/>
  <c r="E277" i="15"/>
  <c r="E278" i="15"/>
  <c r="E279" i="15"/>
  <c r="E280" i="15"/>
  <c r="AM392" i="18" l="1"/>
  <c r="AN393" i="18"/>
  <c r="D300" i="15"/>
  <c r="F300" i="15" s="1"/>
  <c r="X217" i="18"/>
  <c r="AM391" i="18" l="1"/>
  <c r="AN392" i="18"/>
  <c r="D299" i="15"/>
  <c r="F299" i="15" s="1"/>
  <c r="AM390" i="18" l="1"/>
  <c r="AN391" i="18"/>
  <c r="D298" i="15"/>
  <c r="F298" i="15" s="1"/>
  <c r="D9" i="60"/>
  <c r="X216" i="18"/>
  <c r="D10" i="60" l="1"/>
  <c r="H12" i="60" s="1"/>
  <c r="J10" i="60"/>
  <c r="AN390" i="18"/>
  <c r="AM389" i="18"/>
  <c r="D297" i="15"/>
  <c r="F297" i="15" s="1"/>
  <c r="D3" i="59"/>
  <c r="D4" i="59"/>
  <c r="D5" i="59"/>
  <c r="D6" i="59"/>
  <c r="D7" i="59"/>
  <c r="D8" i="59"/>
  <c r="D9" i="59"/>
  <c r="D10" i="59"/>
  <c r="D11" i="59"/>
  <c r="D12" i="59"/>
  <c r="D13" i="59"/>
  <c r="D14" i="59"/>
  <c r="D15" i="59"/>
  <c r="D16" i="59"/>
  <c r="D17" i="59"/>
  <c r="D18" i="59"/>
  <c r="D19" i="59"/>
  <c r="D20" i="59"/>
  <c r="D21" i="59"/>
  <c r="D2" i="59"/>
  <c r="AN389" i="18" l="1"/>
  <c r="AM388" i="18"/>
  <c r="J12" i="60"/>
  <c r="D296" i="15"/>
  <c r="F296" i="15" s="1"/>
  <c r="AM387" i="18" l="1"/>
  <c r="AN388" i="18"/>
  <c r="D295" i="15"/>
  <c r="F295" i="15" s="1"/>
  <c r="AN387" i="18" l="1"/>
  <c r="AM386"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6" i="18" l="1"/>
  <c r="AM385" i="18"/>
  <c r="P108" i="52"/>
  <c r="D293" i="15"/>
  <c r="F293" i="15" s="1"/>
  <c r="P111" i="52"/>
  <c r="P110" i="52"/>
  <c r="P106" i="52"/>
  <c r="P104" i="52"/>
  <c r="P107" i="52"/>
  <c r="P105" i="52"/>
  <c r="P99" i="52"/>
  <c r="P109" i="52"/>
  <c r="P103" i="52"/>
  <c r="P102" i="52"/>
  <c r="P101" i="52"/>
  <c r="P100" i="52"/>
  <c r="AM384" i="18" l="1"/>
  <c r="AN385" i="18"/>
  <c r="D292" i="15"/>
  <c r="F292" i="15" s="1"/>
  <c r="J90" i="52"/>
  <c r="J95" i="52"/>
  <c r="X215" i="18"/>
  <c r="AM383" i="18" l="1"/>
  <c r="AN384" i="18"/>
  <c r="D291" i="15"/>
  <c r="F291" i="15" s="1"/>
  <c r="F51" i="14"/>
  <c r="F52" i="14"/>
  <c r="F53" i="14"/>
  <c r="F54" i="14"/>
  <c r="F55" i="14"/>
  <c r="F56" i="14"/>
  <c r="F57" i="14"/>
  <c r="F58" i="14"/>
  <c r="F59" i="14"/>
  <c r="F60" i="14"/>
  <c r="F61" i="14"/>
  <c r="AM382" i="18" l="1"/>
  <c r="AN383" i="18"/>
  <c r="D290" i="15"/>
  <c r="F290" i="15" s="1"/>
  <c r="N92" i="52"/>
  <c r="O92" i="52"/>
  <c r="N93" i="52"/>
  <c r="O93" i="52"/>
  <c r="N94" i="52"/>
  <c r="O94" i="52"/>
  <c r="N95" i="52"/>
  <c r="O95" i="52"/>
  <c r="N96" i="52"/>
  <c r="O96" i="52"/>
  <c r="N97" i="52"/>
  <c r="O97" i="52"/>
  <c r="J92" i="52"/>
  <c r="J93" i="52"/>
  <c r="J94" i="52"/>
  <c r="J96" i="52"/>
  <c r="AM381" i="18" l="1"/>
  <c r="AN382" i="18"/>
  <c r="D289" i="15"/>
  <c r="F289" i="15" s="1"/>
  <c r="P97" i="52"/>
  <c r="P98" i="52"/>
  <c r="P95" i="52"/>
  <c r="P96" i="52"/>
  <c r="P94" i="52"/>
  <c r="P93" i="52"/>
  <c r="N91" i="52"/>
  <c r="P92" i="52" s="1"/>
  <c r="AM380" i="18" l="1"/>
  <c r="AN381" i="18"/>
  <c r="D288" i="15"/>
  <c r="F288" i="15" s="1"/>
  <c r="U578" i="18"/>
  <c r="X214" i="18"/>
  <c r="X213" i="18"/>
  <c r="X212" i="18"/>
  <c r="M48" i="52"/>
  <c r="M47" i="52"/>
  <c r="N38" i="52"/>
  <c r="N37" i="52"/>
  <c r="M49" i="52"/>
  <c r="N50" i="52" s="1"/>
  <c r="AM379" i="18" l="1"/>
  <c r="AN380" i="18"/>
  <c r="D287" i="15"/>
  <c r="F287" i="15" s="1"/>
  <c r="N49" i="52"/>
  <c r="X211" i="18"/>
  <c r="AN379" i="18" l="1"/>
  <c r="AM378" i="18"/>
  <c r="D286" i="15"/>
  <c r="F286" i="15" s="1"/>
  <c r="AM377" i="18" l="1"/>
  <c r="AN378" i="18"/>
  <c r="D285" i="15"/>
  <c r="F285" i="15" s="1"/>
  <c r="X210" i="18"/>
  <c r="AM376" i="18" l="1"/>
  <c r="AN377" i="18"/>
  <c r="D284" i="15"/>
  <c r="F284" i="15" s="1"/>
  <c r="O90" i="52"/>
  <c r="O91" i="52"/>
  <c r="J91" i="52"/>
  <c r="AN376" i="18" l="1"/>
  <c r="AM375"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09" i="18"/>
  <c r="AN375" i="18" l="1"/>
  <c r="AM374" i="18"/>
  <c r="D282" i="15"/>
  <c r="F282" i="15" s="1"/>
  <c r="G32" i="57"/>
  <c r="H32" i="57"/>
  <c r="D32" i="57"/>
  <c r="I32" i="57" s="1"/>
  <c r="D345" i="20"/>
  <c r="X208" i="18"/>
  <c r="X207" i="18"/>
  <c r="AN374" i="18" l="1"/>
  <c r="AM373"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73" i="18" l="1"/>
  <c r="AM372" i="18"/>
  <c r="D280" i="15"/>
  <c r="F280" i="15" s="1"/>
  <c r="C46" i="56"/>
  <c r="B46" i="56"/>
  <c r="AN372" i="18" l="1"/>
  <c r="AM371" i="18"/>
  <c r="D279" i="15"/>
  <c r="F279" i="15" s="1"/>
  <c r="O84" i="52"/>
  <c r="X206" i="18"/>
  <c r="D343" i="20"/>
  <c r="AM370" i="18" l="1"/>
  <c r="AN371" i="18"/>
  <c r="D278" i="15"/>
  <c r="F278" i="15" s="1"/>
  <c r="X205" i="18"/>
  <c r="D342" i="20"/>
  <c r="J83" i="52"/>
  <c r="O83" i="52"/>
  <c r="X204" i="18"/>
  <c r="X203" i="18"/>
  <c r="F44" i="14"/>
  <c r="F45" i="14"/>
  <c r="F46" i="14"/>
  <c r="F47" i="14"/>
  <c r="F48" i="14"/>
  <c r="F49" i="14"/>
  <c r="F50" i="14"/>
  <c r="D341" i="20"/>
  <c r="AM369" i="18" l="1"/>
  <c r="AN370" i="18"/>
  <c r="D277" i="15"/>
  <c r="F277" i="15" s="1"/>
  <c r="AN369" i="18" l="1"/>
  <c r="AM368" i="18"/>
  <c r="D276" i="15"/>
  <c r="F276" i="15" s="1"/>
  <c r="X202" i="18"/>
  <c r="AM367" i="18" l="1"/>
  <c r="AN368" i="18"/>
  <c r="D340" i="20"/>
  <c r="X201" i="18"/>
  <c r="H337" i="20"/>
  <c r="H338" i="20"/>
  <c r="H339" i="20"/>
  <c r="H340" i="20"/>
  <c r="H341" i="20"/>
  <c r="H368" i="20"/>
  <c r="H369" i="20"/>
  <c r="D339" i="20"/>
  <c r="AM366" i="18" l="1"/>
  <c r="AN367" i="18"/>
  <c r="B371" i="20"/>
  <c r="D332" i="20"/>
  <c r="D333" i="20"/>
  <c r="D334" i="20"/>
  <c r="D335" i="20"/>
  <c r="D336" i="20"/>
  <c r="D337" i="20"/>
  <c r="D338" i="20"/>
  <c r="D369" i="20"/>
  <c r="AM365" i="18" l="1"/>
  <c r="AN366" i="18"/>
  <c r="X200" i="18"/>
  <c r="D80" i="57"/>
  <c r="AM364" i="18" l="1"/>
  <c r="AN365" i="18"/>
  <c r="G46" i="10"/>
  <c r="AM363" i="18" l="1"/>
  <c r="AN364" i="18"/>
  <c r="D331" i="20"/>
  <c r="AM362" i="18" l="1"/>
  <c r="AN363" i="18"/>
  <c r="D330" i="20"/>
  <c r="AM361" i="18" l="1"/>
  <c r="AN362" i="18"/>
  <c r="X199" i="18"/>
  <c r="X198" i="18"/>
  <c r="AM360" i="18" l="1"/>
  <c r="AN361" i="18"/>
  <c r="D329" i="20"/>
  <c r="AN360" i="18" l="1"/>
  <c r="AM359" i="18"/>
  <c r="L47" i="52"/>
  <c r="AN359" i="18" l="1"/>
  <c r="AM358" i="18"/>
  <c r="AN358" i="18" l="1"/>
  <c r="AM357" i="18"/>
  <c r="D328" i="20"/>
  <c r="D327" i="20"/>
  <c r="AM356" i="18" l="1"/>
  <c r="AN357"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6" i="18" l="1"/>
  <c r="AM355" i="18"/>
  <c r="P83" i="52"/>
  <c r="P91" i="52"/>
  <c r="P90" i="52"/>
  <c r="P82" i="52"/>
  <c r="P89" i="52"/>
  <c r="P88" i="52"/>
  <c r="P84" i="52"/>
  <c r="P80" i="52"/>
  <c r="P85" i="52"/>
  <c r="P81" i="52"/>
  <c r="P79" i="52"/>
  <c r="P86" i="52"/>
  <c r="P78" i="52"/>
  <c r="P77" i="52"/>
  <c r="P76" i="52"/>
  <c r="P75" i="52"/>
  <c r="AM354" i="18" l="1"/>
  <c r="AN355" i="18"/>
  <c r="D326" i="20"/>
  <c r="D325" i="20"/>
  <c r="AN354" i="18" l="1"/>
  <c r="AM353" i="18"/>
  <c r="H320" i="20"/>
  <c r="H321" i="20"/>
  <c r="H322" i="20"/>
  <c r="H323" i="20"/>
  <c r="H324" i="20"/>
  <c r="H325" i="20"/>
  <c r="H326" i="20"/>
  <c r="H327" i="20"/>
  <c r="H328" i="20"/>
  <c r="H329" i="20"/>
  <c r="H330" i="20"/>
  <c r="H331" i="20"/>
  <c r="H332" i="20"/>
  <c r="H333" i="20"/>
  <c r="H334" i="20"/>
  <c r="H335" i="20"/>
  <c r="H336" i="20"/>
  <c r="D324" i="20"/>
  <c r="D323" i="20"/>
  <c r="D322" i="20"/>
  <c r="D321" i="20"/>
  <c r="AM352" i="18" l="1"/>
  <c r="AN353" i="18"/>
  <c r="D320" i="20"/>
  <c r="D319" i="20"/>
  <c r="AM351" i="18" l="1"/>
  <c r="AN352" i="18"/>
  <c r="D318" i="20"/>
  <c r="D317" i="20"/>
  <c r="AM350" i="18" l="1"/>
  <c r="AN351" i="18"/>
  <c r="X197" i="18"/>
  <c r="X196" i="18"/>
  <c r="AM349" i="18" l="1"/>
  <c r="AN350" i="18"/>
  <c r="S15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9" i="18" l="1"/>
  <c r="AM348" i="18"/>
  <c r="P70" i="52"/>
  <c r="P71" i="52"/>
  <c r="P69" i="52"/>
  <c r="P73" i="52"/>
  <c r="P72" i="52"/>
  <c r="X195" i="18"/>
  <c r="X194" i="18"/>
  <c r="N36" i="52"/>
  <c r="N35" i="52"/>
  <c r="Q42" i="52"/>
  <c r="AM347" i="18" l="1"/>
  <c r="AN348" i="18"/>
  <c r="X193" i="18"/>
  <c r="X192" i="18"/>
  <c r="N34" i="52"/>
  <c r="N33" i="52"/>
  <c r="P42" i="52"/>
  <c r="AM346" i="18" l="1"/>
  <c r="AN347" i="18"/>
  <c r="D316" i="20"/>
  <c r="AM345" i="18" l="1"/>
  <c r="AN346"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5" i="18" l="1"/>
  <c r="AM344" i="18"/>
  <c r="D315" i="20"/>
  <c r="D314" i="20"/>
  <c r="AM343" i="18" l="1"/>
  <c r="AN344" i="18"/>
  <c r="X191" i="18"/>
  <c r="X190" i="18"/>
  <c r="N32" i="52"/>
  <c r="N31" i="52"/>
  <c r="AM342" i="18" l="1"/>
  <c r="AN342" i="18" s="1"/>
  <c r="AN343" i="18"/>
  <c r="X189" i="18"/>
  <c r="X188" i="18"/>
  <c r="N30" i="52"/>
  <c r="N29" i="52"/>
  <c r="X187" i="18" l="1"/>
  <c r="X186" i="18"/>
  <c r="N28" i="52"/>
  <c r="N27" i="52"/>
  <c r="AM341" i="18" l="1"/>
  <c r="D313" i="20"/>
  <c r="AM340" i="18" l="1"/>
  <c r="AN341" i="18"/>
  <c r="L83" i="18"/>
  <c r="L79" i="18" l="1"/>
  <c r="N79" i="18" s="1"/>
  <c r="L80" i="18"/>
  <c r="N80" i="18" s="1"/>
  <c r="L78" i="18"/>
  <c r="N78" i="18" s="1"/>
  <c r="M83" i="18"/>
  <c r="AN340" i="18"/>
  <c r="AM339" i="18"/>
  <c r="L75" i="18"/>
  <c r="X185" i="18"/>
  <c r="X184" i="18"/>
  <c r="N24" i="52"/>
  <c r="N26" i="52"/>
  <c r="N25" i="52"/>
  <c r="AM338" i="18" l="1"/>
  <c r="AN339"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8" i="18"/>
  <c r="AM337" i="18"/>
  <c r="I370" i="20"/>
  <c r="J370" i="20"/>
  <c r="X183" i="18"/>
  <c r="X182" i="18"/>
  <c r="N23" i="52"/>
  <c r="N22" i="52"/>
  <c r="I368" i="20" l="1"/>
  <c r="G367" i="20"/>
  <c r="J368" i="20"/>
  <c r="K368" i="20"/>
  <c r="AM336" i="18"/>
  <c r="AN337" i="18"/>
  <c r="X181" i="18"/>
  <c r="X180" i="18"/>
  <c r="N21" i="52"/>
  <c r="N20" i="52"/>
  <c r="G366" i="20" l="1"/>
  <c r="I367" i="20"/>
  <c r="K367" i="20"/>
  <c r="J367" i="20"/>
  <c r="AM335" i="18"/>
  <c r="AN336" i="18"/>
  <c r="D309" i="20"/>
  <c r="J366" i="20" l="1"/>
  <c r="K366" i="20"/>
  <c r="I366" i="20"/>
  <c r="G365" i="20"/>
  <c r="AM334" i="18"/>
  <c r="AN335" i="18"/>
  <c r="D308" i="20"/>
  <c r="G364" i="20" l="1"/>
  <c r="I365" i="20"/>
  <c r="J365" i="20"/>
  <c r="K365" i="20"/>
  <c r="AM333" i="18"/>
  <c r="AN334" i="18"/>
  <c r="D307" i="20"/>
  <c r="I364" i="20" l="1"/>
  <c r="J364" i="20"/>
  <c r="K364" i="20"/>
  <c r="G363" i="20"/>
  <c r="AM332" i="18"/>
  <c r="AN333" i="18"/>
  <c r="AM177" i="18" l="1"/>
  <c r="G362" i="20"/>
  <c r="I363" i="20"/>
  <c r="J363" i="20"/>
  <c r="K363" i="20"/>
  <c r="AM331" i="18"/>
  <c r="AN332" i="18"/>
  <c r="X179" i="18"/>
  <c r="X178" i="18"/>
  <c r="AM176" i="18" l="1"/>
  <c r="AN177" i="18"/>
  <c r="K362" i="20"/>
  <c r="G361" i="20"/>
  <c r="I362" i="20"/>
  <c r="J362" i="20"/>
  <c r="AM330" i="18"/>
  <c r="AN331" i="18"/>
  <c r="AM175" i="18" l="1"/>
  <c r="AN176" i="18"/>
  <c r="I361" i="20"/>
  <c r="G360" i="20"/>
  <c r="J361" i="20"/>
  <c r="K361" i="20"/>
  <c r="AM329" i="18"/>
  <c r="AN330" i="18"/>
  <c r="AM174" i="18" l="1"/>
  <c r="AN175" i="18"/>
  <c r="I360" i="20"/>
  <c r="K360" i="20"/>
  <c r="G359" i="20"/>
  <c r="J360" i="20"/>
  <c r="AM328" i="18"/>
  <c r="AN329" i="18"/>
  <c r="D306" i="20"/>
  <c r="AM173" i="18" l="1"/>
  <c r="AN174" i="18"/>
  <c r="G358" i="20"/>
  <c r="J359" i="20"/>
  <c r="K359" i="20"/>
  <c r="I359" i="20"/>
  <c r="AM327" i="18"/>
  <c r="AN328" i="18"/>
  <c r="D305" i="20"/>
  <c r="AM172" i="18" l="1"/>
  <c r="AN173" i="18"/>
  <c r="K358" i="20"/>
  <c r="I358" i="20"/>
  <c r="G357" i="20"/>
  <c r="J358" i="20"/>
  <c r="AM326" i="18"/>
  <c r="AN327" i="18"/>
  <c r="AM171" i="18" l="1"/>
  <c r="AN172" i="18"/>
  <c r="I357" i="20"/>
  <c r="J357" i="20"/>
  <c r="G356" i="20"/>
  <c r="K357" i="20"/>
  <c r="AN326" i="18"/>
  <c r="AM325" i="18"/>
  <c r="D304" i="20"/>
  <c r="X177" i="18"/>
  <c r="X176" i="18"/>
  <c r="N17" i="52"/>
  <c r="N16" i="52"/>
  <c r="AM170" i="18" l="1"/>
  <c r="AN171" i="18"/>
  <c r="I356" i="20"/>
  <c r="G355" i="20"/>
  <c r="J356" i="20"/>
  <c r="K356" i="20"/>
  <c r="L76" i="18"/>
  <c r="AM169" i="18" l="1"/>
  <c r="AM168" i="18" s="1"/>
  <c r="AN170" i="18"/>
  <c r="J355" i="20"/>
  <c r="I355" i="20"/>
  <c r="G354" i="20"/>
  <c r="K355" i="20"/>
  <c r="X175" i="18"/>
  <c r="X174" i="18"/>
  <c r="D303" i="20"/>
  <c r="D302" i="20"/>
  <c r="X173"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71" i="18"/>
  <c r="AM163" i="18" l="1"/>
  <c r="AN164" i="18"/>
  <c r="I350" i="20"/>
  <c r="J350" i="20"/>
  <c r="K350" i="20"/>
  <c r="G349" i="20"/>
  <c r="D296" i="20"/>
  <c r="D295" i="20"/>
  <c r="AN163" i="18" l="1"/>
  <c r="AM162" i="18"/>
  <c r="K349" i="20"/>
  <c r="I349" i="20"/>
  <c r="J349" i="20"/>
  <c r="G348" i="20"/>
  <c r="X170" i="18"/>
  <c r="X169" i="18"/>
  <c r="L11" i="52"/>
  <c r="L10" i="52"/>
  <c r="AM324" i="18"/>
  <c r="AM323" i="18" s="1"/>
  <c r="AM322"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5" i="18"/>
  <c r="AN324" i="18"/>
  <c r="AN323" i="18"/>
  <c r="X168" i="18"/>
  <c r="X167" i="18"/>
  <c r="AN161" i="18" l="1"/>
  <c r="AM160" i="18"/>
  <c r="G346" i="20"/>
  <c r="J347" i="20"/>
  <c r="I347" i="20"/>
  <c r="K347" i="20"/>
  <c r="D293" i="20"/>
  <c r="AM159" i="18" l="1"/>
  <c r="AN160" i="18"/>
  <c r="K346" i="20"/>
  <c r="G345" i="20"/>
  <c r="J346" i="20"/>
  <c r="I346" i="20"/>
  <c r="X166" i="18"/>
  <c r="AN159" i="18" l="1"/>
  <c r="AM158" i="18"/>
  <c r="K345" i="20"/>
  <c r="G344" i="20"/>
  <c r="J345" i="20"/>
  <c r="I345" i="20"/>
  <c r="D292" i="20"/>
  <c r="C8" i="36"/>
  <c r="X165"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21" i="18"/>
  <c r="AM320" i="18" s="1"/>
  <c r="D288" i="20"/>
  <c r="AM153" i="18" l="1"/>
  <c r="AN154" i="18"/>
  <c r="I340" i="20"/>
  <c r="K340" i="20"/>
  <c r="G339" i="20"/>
  <c r="J340" i="20"/>
  <c r="AN322" i="18"/>
  <c r="AN321"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64"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63"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35"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62"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61" i="18"/>
  <c r="AN124" i="18" l="1"/>
  <c r="AM123" i="18"/>
  <c r="AN123" i="18" l="1"/>
  <c r="AM122" i="18"/>
  <c r="AM121" i="18" l="1"/>
  <c r="AN122" i="18"/>
  <c r="X155" i="18"/>
  <c r="X156" i="18"/>
  <c r="X157" i="18"/>
  <c r="X158" i="18"/>
  <c r="X159" i="18"/>
  <c r="X160" i="18"/>
  <c r="X172" i="18"/>
  <c r="X154" i="18"/>
  <c r="AN121" i="18" l="1"/>
  <c r="AM120" i="18"/>
  <c r="N59" i="18"/>
  <c r="S155" i="18" s="1"/>
  <c r="AN120" i="18" l="1"/>
  <c r="AM119" i="18"/>
  <c r="AN119" i="18" l="1"/>
  <c r="AM118" i="18"/>
  <c r="T67" i="18"/>
  <c r="S160" i="18"/>
  <c r="S158" i="18"/>
  <c r="D57" i="51"/>
  <c r="T68" i="18" l="1"/>
  <c r="T69" i="18" s="1"/>
  <c r="T70" i="18" s="1"/>
  <c r="T71" i="18" s="1"/>
  <c r="AM117" i="18"/>
  <c r="AN118" i="18"/>
  <c r="AN117" i="18" l="1"/>
  <c r="AM116" i="18"/>
  <c r="T72" i="18"/>
  <c r="T73" i="18" s="1"/>
  <c r="N40" i="18"/>
  <c r="S157" i="18" s="1"/>
  <c r="R8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74" i="18" l="1"/>
  <c r="T75" i="18" s="1"/>
  <c r="T76" i="18" s="1"/>
  <c r="T77" i="18" s="1"/>
  <c r="AM113" i="18"/>
  <c r="AN114" i="18"/>
  <c r="T20" i="18"/>
  <c r="T21" i="18" s="1"/>
  <c r="AM112" i="18" l="1"/>
  <c r="AN113" i="18"/>
  <c r="R131"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78" i="18" l="1"/>
  <c r="T79" i="18" s="1"/>
  <c r="T80" i="18" s="1"/>
  <c r="T81" i="18" s="1"/>
  <c r="T82" i="18" s="1"/>
  <c r="T83" i="18" s="1"/>
  <c r="AM105" i="18"/>
  <c r="AN106" i="18"/>
  <c r="AM104" i="18" l="1"/>
  <c r="AN105" i="18"/>
  <c r="AM319" i="18"/>
  <c r="AN320" i="18"/>
  <c r="AM103" i="18" l="1"/>
  <c r="AN104" i="18"/>
  <c r="AM318" i="18"/>
  <c r="AN319" i="18"/>
  <c r="AM102" i="18" l="1"/>
  <c r="AN103" i="18"/>
  <c r="AM317" i="18"/>
  <c r="AN318" i="18"/>
  <c r="T22" i="18"/>
  <c r="T23" i="18" s="1"/>
  <c r="AM101" i="18" l="1"/>
  <c r="AN102" i="18"/>
  <c r="AM316" i="18"/>
  <c r="AN317"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6" i="18"/>
  <c r="AM315" i="18"/>
  <c r="D73" i="48"/>
  <c r="N76" i="18" l="1"/>
  <c r="AM99" i="18"/>
  <c r="AN100" i="18"/>
  <c r="AM314" i="18"/>
  <c r="AN315" i="18"/>
  <c r="AN99" i="18" l="1"/>
  <c r="AM98" i="18"/>
  <c r="AM313" i="18"/>
  <c r="AN314" i="18"/>
  <c r="AM97" i="18" l="1"/>
  <c r="AN98" i="18"/>
  <c r="AM312" i="18"/>
  <c r="AN313" i="18"/>
  <c r="T29" i="18" l="1"/>
  <c r="T30" i="18" s="1"/>
  <c r="T31" i="18" s="1"/>
  <c r="AN97" i="18"/>
  <c r="AM96" i="18"/>
  <c r="AM311" i="18"/>
  <c r="AN312" i="18"/>
  <c r="N23" i="33"/>
  <c r="D23" i="33" s="1"/>
  <c r="AN96" i="18" l="1"/>
  <c r="AM95" i="18"/>
  <c r="AM310" i="18"/>
  <c r="AN311"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9" i="18"/>
  <c r="AN310" i="18"/>
  <c r="N33" i="18"/>
  <c r="M75" i="18" s="1"/>
  <c r="S156" i="18" l="1"/>
  <c r="S170" i="18" s="1"/>
  <c r="N75" i="18"/>
  <c r="N83" i="18" s="1"/>
  <c r="I126" i="18"/>
  <c r="I127" i="18" s="1"/>
  <c r="R62" i="18"/>
  <c r="AK509" i="18"/>
  <c r="AK510" i="18" s="1"/>
  <c r="AN94" i="18"/>
  <c r="AM93" i="18"/>
  <c r="AM308" i="18"/>
  <c r="AN309" i="18"/>
  <c r="U565" i="18" l="1"/>
  <c r="W568" i="18" s="1"/>
  <c r="Q52" i="18"/>
  <c r="Q33" i="18"/>
  <c r="AM92" i="18"/>
  <c r="AN93" i="18"/>
  <c r="AM307" i="18"/>
  <c r="AN308" i="18"/>
  <c r="X140" i="18" l="1"/>
  <c r="Q51" i="18"/>
  <c r="X141" i="18"/>
  <c r="AM91" i="18"/>
  <c r="AN92" i="18"/>
  <c r="AN307" i="18"/>
  <c r="AM306" i="18"/>
  <c r="AM90" i="18" l="1"/>
  <c r="AN91" i="18"/>
  <c r="AM305" i="18"/>
  <c r="AN306" i="18"/>
  <c r="AN90" i="18" l="1"/>
  <c r="AM89" i="18"/>
  <c r="AN305" i="18"/>
  <c r="AM304" i="18"/>
  <c r="AM88" i="18" l="1"/>
  <c r="AN89" i="18"/>
  <c r="AN304" i="18"/>
  <c r="AM303" i="18"/>
  <c r="AN88" i="18" l="1"/>
  <c r="AM87" i="18"/>
  <c r="AM302" i="18"/>
  <c r="AN303" i="18"/>
  <c r="B10" i="36"/>
  <c r="AM86" i="18" l="1"/>
  <c r="AN87" i="18"/>
  <c r="AM301" i="18"/>
  <c r="AN302" i="18"/>
  <c r="AM85" i="18" l="1"/>
  <c r="AN86" i="18"/>
  <c r="AM300" i="18"/>
  <c r="AN301" i="18"/>
  <c r="N25" i="33"/>
  <c r="N24" i="33"/>
  <c r="N21" i="33"/>
  <c r="N20" i="33"/>
  <c r="N19" i="33"/>
  <c r="N18" i="33"/>
  <c r="L18" i="33" s="1"/>
  <c r="N17" i="33"/>
  <c r="N9" i="33"/>
  <c r="N3" i="33"/>
  <c r="N4" i="33"/>
  <c r="AM84" i="18" l="1"/>
  <c r="AN85" i="18"/>
  <c r="AN300" i="18"/>
  <c r="AM299"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9" i="18"/>
  <c r="AM298" i="18"/>
  <c r="AC15" i="33"/>
  <c r="AM82" i="18" l="1"/>
  <c r="AN83" i="18"/>
  <c r="AN298" i="18"/>
  <c r="AM297" i="18"/>
  <c r="N16" i="33"/>
  <c r="AM81" i="18" l="1"/>
  <c r="AN82" i="18"/>
  <c r="AN297" i="18"/>
  <c r="AM296" i="18"/>
  <c r="AN296" i="18" s="1"/>
  <c r="L16" i="33"/>
  <c r="J16" i="33"/>
  <c r="F16" i="33"/>
  <c r="C16" i="33"/>
  <c r="K16" i="33"/>
  <c r="G16" i="33"/>
  <c r="H16" i="33"/>
  <c r="D16" i="33"/>
  <c r="I16" i="33"/>
  <c r="E16" i="33"/>
  <c r="B16" i="33"/>
  <c r="R16" i="33"/>
  <c r="T32" i="18" l="1"/>
  <c r="T33" i="18" s="1"/>
  <c r="T34" i="18" s="1"/>
  <c r="T35" i="18" s="1"/>
  <c r="T36" i="18" s="1"/>
  <c r="T37" i="18" s="1"/>
  <c r="T38" i="18" s="1"/>
  <c r="T39" i="18" s="1"/>
  <c r="T40" i="18" s="1"/>
  <c r="AN505" i="18"/>
  <c r="AO505" i="18" s="1"/>
  <c r="AK508"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511" i="18"/>
  <c r="AK512"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AK285" i="18" l="1"/>
  <c r="AK286" i="18" s="1"/>
  <c r="G305" i="20"/>
  <c r="I306" i="20"/>
  <c r="K306" i="20"/>
  <c r="J306" i="20"/>
  <c r="AM74" i="18"/>
  <c r="AN75" i="18"/>
  <c r="Q34" i="18" l="1"/>
  <c r="Q41" i="18"/>
  <c r="Q40" i="18"/>
  <c r="V578" i="18"/>
  <c r="W578" i="18" s="1"/>
  <c r="G304" i="20"/>
  <c r="I305" i="20"/>
  <c r="K305" i="20"/>
  <c r="J305" i="20"/>
  <c r="AM73" i="18"/>
  <c r="AN74" i="18"/>
  <c r="S93" i="18"/>
  <c r="W124" i="18" s="1"/>
  <c r="X124" i="18" l="1"/>
  <c r="Y124" i="18"/>
  <c r="W59" i="18"/>
  <c r="W58" i="18"/>
  <c r="W122" i="18"/>
  <c r="W121" i="18"/>
  <c r="X121" i="18" s="1"/>
  <c r="W120" i="18"/>
  <c r="X120" i="18" s="1"/>
  <c r="W118" i="18"/>
  <c r="X118" i="18" s="1"/>
  <c r="W119" i="18"/>
  <c r="W117" i="18"/>
  <c r="X117" i="18" s="1"/>
  <c r="W130" i="18"/>
  <c r="W123" i="18"/>
  <c r="W84" i="18"/>
  <c r="W61" i="18"/>
  <c r="W116" i="18"/>
  <c r="X116" i="18" s="1"/>
  <c r="W114" i="18"/>
  <c r="X114" i="18" s="1"/>
  <c r="W115" i="18"/>
  <c r="W113" i="18"/>
  <c r="W50" i="18"/>
  <c r="W54" i="18"/>
  <c r="W49" i="18"/>
  <c r="W55" i="18"/>
  <c r="W47" i="18"/>
  <c r="W51" i="18"/>
  <c r="W48" i="18"/>
  <c r="W52" i="18"/>
  <c r="W53" i="18"/>
  <c r="W83" i="18"/>
  <c r="W88" i="18"/>
  <c r="W86" i="18"/>
  <c r="W87" i="18"/>
  <c r="W82" i="18"/>
  <c r="W81" i="18"/>
  <c r="W80" i="18"/>
  <c r="W79" i="18"/>
  <c r="W78" i="18"/>
  <c r="W77" i="18"/>
  <c r="X77" i="18" s="1"/>
  <c r="W45" i="18"/>
  <c r="W46" i="18"/>
  <c r="W44" i="18"/>
  <c r="W43" i="18"/>
  <c r="W42" i="18"/>
  <c r="W41" i="18"/>
  <c r="W37" i="18"/>
  <c r="W38" i="18"/>
  <c r="W39" i="18"/>
  <c r="W40" i="18"/>
  <c r="W35" i="18"/>
  <c r="W36" i="18"/>
  <c r="W34" i="18"/>
  <c r="W31" i="18"/>
  <c r="W32" i="18"/>
  <c r="W33" i="18"/>
  <c r="W76" i="18"/>
  <c r="X142" i="18"/>
  <c r="W97" i="18"/>
  <c r="W75" i="18"/>
  <c r="X75" i="18" s="1"/>
  <c r="W30" i="18"/>
  <c r="W29" i="18"/>
  <c r="W28" i="18"/>
  <c r="X28" i="18" s="1"/>
  <c r="W74" i="18"/>
  <c r="W73" i="18"/>
  <c r="W27" i="18"/>
  <c r="G303" i="20"/>
  <c r="K304" i="20"/>
  <c r="I304" i="20"/>
  <c r="J304" i="20"/>
  <c r="W26" i="18"/>
  <c r="X26" i="18" s="1"/>
  <c r="W72" i="18"/>
  <c r="W25" i="18"/>
  <c r="W24" i="18"/>
  <c r="X24" i="18" s="1"/>
  <c r="W71" i="18"/>
  <c r="W23" i="18"/>
  <c r="Y23" i="18" s="1"/>
  <c r="W70" i="18"/>
  <c r="W69" i="18"/>
  <c r="W68" i="18"/>
  <c r="W22" i="18"/>
  <c r="W21" i="18"/>
  <c r="W20" i="18"/>
  <c r="AM72" i="18"/>
  <c r="AN73" i="18"/>
  <c r="X122" i="18" l="1"/>
  <c r="Y122" i="18"/>
  <c r="X58" i="18"/>
  <c r="Y58" i="18"/>
  <c r="X59" i="18"/>
  <c r="Y59" i="18"/>
  <c r="Y121" i="18"/>
  <c r="Y120" i="18"/>
  <c r="Y118" i="18"/>
  <c r="Y117" i="18"/>
  <c r="X119" i="18"/>
  <c r="Y119" i="18"/>
  <c r="X123" i="18"/>
  <c r="Y123" i="18"/>
  <c r="X130" i="18"/>
  <c r="Y130" i="18"/>
  <c r="X84" i="18"/>
  <c r="Y84" i="18"/>
  <c r="X61" i="18"/>
  <c r="Y61" i="18"/>
  <c r="Y116" i="18"/>
  <c r="Y114" i="18"/>
  <c r="Y115" i="18"/>
  <c r="X115" i="18"/>
  <c r="X113" i="18"/>
  <c r="Y113" i="18"/>
  <c r="X52" i="18"/>
  <c r="Y52" i="18"/>
  <c r="X55" i="18"/>
  <c r="Y55" i="18"/>
  <c r="X48" i="18"/>
  <c r="Y48" i="18"/>
  <c r="Y49" i="18"/>
  <c r="X49" i="18"/>
  <c r="X51" i="18"/>
  <c r="Y51" i="18"/>
  <c r="X54" i="18"/>
  <c r="Y54" i="18"/>
  <c r="Y53" i="18"/>
  <c r="X53" i="18"/>
  <c r="X47" i="18"/>
  <c r="Y47" i="18"/>
  <c r="X50" i="18"/>
  <c r="Y50" i="18"/>
  <c r="Y87" i="18"/>
  <c r="X87" i="18"/>
  <c r="Y86" i="18"/>
  <c r="X86" i="18"/>
  <c r="X88" i="18"/>
  <c r="Y88" i="18"/>
  <c r="X83" i="18"/>
  <c r="Y83" i="18"/>
  <c r="X146" i="18"/>
  <c r="Y77" i="18"/>
  <c r="X81" i="18"/>
  <c r="Y81" i="18"/>
  <c r="X82" i="18"/>
  <c r="Y82" i="18"/>
  <c r="X80" i="18"/>
  <c r="Y80" i="18"/>
  <c r="X79" i="18"/>
  <c r="Y79" i="18"/>
  <c r="Y78" i="18"/>
  <c r="X78"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76" i="18"/>
  <c r="Y76" i="18"/>
  <c r="Y75" i="18"/>
  <c r="Y30" i="18"/>
  <c r="X30" i="18"/>
  <c r="X29" i="18"/>
  <c r="Y29" i="18"/>
  <c r="Y28" i="18"/>
  <c r="X74" i="18"/>
  <c r="Y74" i="18"/>
  <c r="X73" i="18"/>
  <c r="Y73" i="18"/>
  <c r="X27" i="18"/>
  <c r="Y27" i="18"/>
  <c r="G128" i="18"/>
  <c r="G302" i="20"/>
  <c r="K303" i="20"/>
  <c r="I303" i="20"/>
  <c r="J303" i="20"/>
  <c r="Y26" i="18"/>
  <c r="X72" i="18"/>
  <c r="Y72" i="18"/>
  <c r="X25" i="18"/>
  <c r="Y25" i="18"/>
  <c r="Y24" i="18"/>
  <c r="X71" i="18"/>
  <c r="Y71" i="18"/>
  <c r="X23" i="18"/>
  <c r="X70" i="18"/>
  <c r="Y70" i="18"/>
  <c r="X69" i="18"/>
  <c r="Y69" i="18"/>
  <c r="X139" i="18"/>
  <c r="Y68" i="18"/>
  <c r="X68" i="18"/>
  <c r="X22" i="18"/>
  <c r="Y22" i="18"/>
  <c r="X20" i="18"/>
  <c r="Y20" i="18"/>
  <c r="X97" i="18"/>
  <c r="Y97" i="18"/>
  <c r="X21" i="18"/>
  <c r="Y21" i="18"/>
  <c r="AM71" i="18"/>
  <c r="AN72" i="18"/>
  <c r="X145" i="18" l="1"/>
  <c r="Y139" i="18" s="1"/>
  <c r="X147" i="18"/>
  <c r="N64" i="18"/>
  <c r="I128" i="18"/>
  <c r="I129" i="18"/>
  <c r="G129" i="18"/>
  <c r="G301" i="20"/>
  <c r="I302" i="20"/>
  <c r="K302" i="20"/>
  <c r="J302" i="20"/>
  <c r="AM70" i="18"/>
  <c r="AN71" i="18"/>
  <c r="X148" i="18" l="1"/>
  <c r="L34" i="18" s="1"/>
  <c r="Z139" i="18"/>
  <c r="AA139" i="18"/>
  <c r="Y142" i="18"/>
  <c r="Y140" i="18"/>
  <c r="Y141"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40" i="18" l="1"/>
  <c r="Z140" i="18"/>
  <c r="Z142" i="18"/>
  <c r="AA142" i="18"/>
  <c r="AA141" i="18"/>
  <c r="Z141"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G48" i="14" l="1"/>
  <c r="E47" i="14"/>
  <c r="G283" i="20"/>
  <c r="K284" i="20"/>
  <c r="I284" i="20"/>
  <c r="J284" i="20"/>
  <c r="AN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9" i="18"/>
  <c r="G250" i="20"/>
  <c r="I251" i="20"/>
  <c r="J251" i="20"/>
  <c r="K251" i="20"/>
  <c r="F246" i="15"/>
  <c r="D245" i="15"/>
  <c r="E173" i="13"/>
  <c r="G174" i="13"/>
  <c r="U2123" i="41" l="1"/>
  <c r="V2123" i="41" s="1"/>
  <c r="X2123" i="41" s="1"/>
  <c r="G249" i="20"/>
  <c r="J250" i="20"/>
  <c r="K250" i="20"/>
  <c r="I250" i="20"/>
  <c r="F245" i="15"/>
  <c r="D244" i="15"/>
  <c r="AO279" i="18"/>
  <c r="AK284" i="18" s="1"/>
  <c r="E172" i="13"/>
  <c r="G173" i="13"/>
  <c r="D62" i="38"/>
  <c r="AK288" i="18" l="1"/>
  <c r="J249" i="20"/>
  <c r="I249" i="20"/>
  <c r="K249" i="20"/>
  <c r="G248" i="20"/>
  <c r="F244" i="15"/>
  <c r="D243" i="15"/>
  <c r="AK287"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67" i="18" l="1"/>
  <c r="N68" i="18"/>
  <c r="G127" i="20"/>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99" i="18" l="1"/>
  <c r="B24" i="26"/>
  <c r="B2" i="27" s="1"/>
  <c r="G2" i="26"/>
  <c r="G25" i="26" s="1"/>
  <c r="G84" i="20"/>
  <c r="J85" i="20"/>
  <c r="I85" i="20"/>
  <c r="K85" i="20"/>
  <c r="E48" i="18"/>
  <c r="I2" i="22"/>
  <c r="I25" i="22" s="1"/>
  <c r="I30" i="22" s="1"/>
  <c r="D24" i="22"/>
  <c r="C24" i="23"/>
  <c r="C2" i="24" s="1"/>
  <c r="H2" i="23"/>
  <c r="D2" i="23"/>
  <c r="G5" i="13"/>
  <c r="E4" i="13"/>
  <c r="F79" i="15"/>
  <c r="C49" i="18"/>
  <c r="T100" i="18" l="1"/>
  <c r="T101" i="18" s="1"/>
  <c r="T102" i="18" s="1"/>
  <c r="T103" i="18" s="1"/>
  <c r="W9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02" i="18" l="1"/>
  <c r="Y102" i="18" s="1"/>
  <c r="X98" i="18"/>
  <c r="Y9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03" i="18" l="1"/>
  <c r="X102" i="18"/>
  <c r="W99" i="18"/>
  <c r="G2" i="29"/>
  <c r="G25" i="29" s="1"/>
  <c r="B24" i="29"/>
  <c r="B2" i="30" s="1"/>
  <c r="I2" i="25"/>
  <c r="I25" i="25" s="1"/>
  <c r="I30" i="25" s="1"/>
  <c r="D24" i="25"/>
  <c r="C24" i="26"/>
  <c r="C2" i="27" s="1"/>
  <c r="H2" i="26"/>
  <c r="H25" i="26" s="1"/>
  <c r="H30" i="26" s="1"/>
  <c r="D2" i="26"/>
  <c r="G81" i="20"/>
  <c r="K82" i="20"/>
  <c r="I82" i="20"/>
  <c r="J82" i="20"/>
  <c r="F76" i="15"/>
  <c r="C52" i="18"/>
  <c r="E51" i="18"/>
  <c r="X103" i="18" l="1"/>
  <c r="Y103" i="18"/>
  <c r="X99" i="18"/>
  <c r="Y9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00" i="18" l="1"/>
  <c r="I2" i="48"/>
  <c r="I28" i="48" s="1"/>
  <c r="I33" i="48" s="1"/>
  <c r="D27" i="48"/>
  <c r="B32" i="55"/>
  <c r="B2" i="57" s="1"/>
  <c r="G2" i="55"/>
  <c r="G33" i="55" s="1"/>
  <c r="C27" i="50"/>
  <c r="C2" i="51" s="1"/>
  <c r="H2" i="50"/>
  <c r="H28" i="50" s="1"/>
  <c r="H33" i="50" s="1"/>
  <c r="D2" i="50"/>
  <c r="G68" i="20"/>
  <c r="I69" i="20"/>
  <c r="J69" i="20"/>
  <c r="K69" i="20"/>
  <c r="F63" i="15"/>
  <c r="Y100" i="18" l="1"/>
  <c r="X10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01" i="18" l="1"/>
  <c r="X101" i="18" s="1"/>
  <c r="H2" i="58"/>
  <c r="H35" i="58" s="1"/>
  <c r="H40" i="58" s="1"/>
  <c r="C34" i="58"/>
  <c r="D2" i="58"/>
  <c r="I2" i="57"/>
  <c r="I35" i="57" s="1"/>
  <c r="I40" i="57" s="1"/>
  <c r="D34" i="57"/>
  <c r="G63" i="20"/>
  <c r="K64" i="20"/>
  <c r="J64" i="20"/>
  <c r="I64" i="20"/>
  <c r="F58" i="15"/>
  <c r="Y10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04" i="18" l="1"/>
  <c r="G57" i="20"/>
  <c r="I58" i="20"/>
  <c r="J58" i="20"/>
  <c r="K58" i="20"/>
  <c r="F52" i="15"/>
  <c r="T105" i="18" l="1"/>
  <c r="T106" i="18" s="1"/>
  <c r="T107" i="18" s="1"/>
  <c r="W104" i="18"/>
  <c r="G56" i="20"/>
  <c r="K57" i="20"/>
  <c r="J57" i="20"/>
  <c r="I57" i="20"/>
  <c r="F51" i="15"/>
  <c r="Y104" i="18" l="1"/>
  <c r="X104" i="18"/>
  <c r="W105" i="18"/>
  <c r="G55" i="20"/>
  <c r="I56" i="20"/>
  <c r="K56" i="20"/>
  <c r="J56" i="20"/>
  <c r="F50" i="15"/>
  <c r="X105" i="18" l="1"/>
  <c r="Y10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06" i="18" l="1"/>
  <c r="X106" i="18" s="1"/>
  <c r="G34" i="20"/>
  <c r="J35" i="20"/>
  <c r="K35" i="20"/>
  <c r="I35" i="20"/>
  <c r="F29" i="15"/>
  <c r="Y10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07" i="18" l="1"/>
  <c r="X107" i="18" s="1"/>
  <c r="T108" i="18"/>
  <c r="T109" i="18" s="1"/>
  <c r="T110" i="18" s="1"/>
  <c r="G19" i="20"/>
  <c r="I20" i="20"/>
  <c r="J20" i="20"/>
  <c r="K20" i="20"/>
  <c r="F14" i="15"/>
  <c r="T111" i="18" l="1"/>
  <c r="Y107" i="18"/>
  <c r="W108" i="18"/>
  <c r="G18" i="20"/>
  <c r="J19" i="20"/>
  <c r="K19" i="20"/>
  <c r="I19" i="20"/>
  <c r="F13" i="15"/>
  <c r="T112" i="18" l="1"/>
  <c r="W112" i="18" s="1"/>
  <c r="X108" i="18"/>
  <c r="Y108" i="18"/>
  <c r="G17" i="20"/>
  <c r="K18" i="20"/>
  <c r="I18" i="20"/>
  <c r="J18" i="20"/>
  <c r="F12" i="15"/>
  <c r="Y112" i="18" l="1"/>
  <c r="X112"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09" i="18" l="1"/>
  <c r="Y109" i="18" s="1"/>
  <c r="G8" i="20"/>
  <c r="J9" i="20"/>
  <c r="K9" i="20"/>
  <c r="I9" i="20"/>
  <c r="F2" i="15"/>
  <c r="F3" i="15"/>
  <c r="X10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10" i="18" l="1"/>
  <c r="X110" i="18" s="1"/>
  <c r="Y110" i="18" l="1"/>
  <c r="W111" i="18" l="1"/>
  <c r="X111" i="18" s="1"/>
  <c r="Y111" i="18" l="1"/>
</calcChain>
</file>

<file path=xl/sharedStrings.xml><?xml version="1.0" encoding="utf-8"?>
<sst xmlns="http://schemas.openxmlformats.org/spreadsheetml/2006/main" count="16922" uniqueCount="6985">
  <si>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</si>
  <si>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</si>
  <si>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</si>
  <si>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</si>
  <si>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</si>
  <si>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</si>
  <si>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</si>
  <si>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</si>
  <si>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</si>
  <si>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</si>
  <si>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</si>
  <si>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</si>
  <si>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</si>
  <si>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</si>
  <si>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</si>
  <si>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</si>
  <si>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</si>
  <si>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</si>
  <si>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</si>
  <si>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</si>
  <si>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</si>
  <si>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</si>
  <si>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</si>
  <si>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</si>
  <si>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</si>
  <si>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</si>
  <si>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</si>
  <si>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</si>
  <si>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</si>
  <si>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</si>
  <si>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</si>
  <si>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</si>
  <si>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</si>
  <si>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</si>
  <si>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</si>
  <si>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</si>
  <si>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</si>
  <si>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</si>
  <si>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</si>
  <si>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</si>
  <si>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</si>
  <si>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</si>
  <si>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</si>
  <si>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</si>
  <si>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</si>
  <si>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</si>
  <si>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</si>
  <si>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</si>
  <si>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</si>
  <si>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</si>
  <si>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</si>
  <si>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</si>
  <si>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</si>
  <si>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</si>
  <si>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</si>
  <si>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</si>
  <si>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</si>
  <si>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</si>
  <si>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</si>
  <si>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</si>
  <si>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</si>
  <si>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</si>
  <si>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</si>
  <si>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</si>
  <si>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</si>
  <si>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</si>
  <si>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</si>
  <si>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</si>
  <si>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</si>
  <si>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</si>
  <si>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</si>
  <si>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</si>
  <si>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</si>
  <si>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</si>
  <si>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</si>
  <si>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</si>
  <si>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</si>
  <si>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</si>
  <si>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</si>
  <si>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</si>
  <si>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</si>
  <si>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</si>
  <si>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</si>
  <si>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</si>
  <si>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</si>
  <si>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</si>
  <si>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</si>
  <si>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</si>
  <si>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</si>
  <si>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</si>
  <si>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</si>
  <si>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</si>
  <si>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</si>
  <si>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</si>
  <si>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</si>
  <si>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</si>
  <si>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</si>
  <si>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</si>
  <si>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</si>
  <si>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</si>
  <si>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</si>
  <si>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</si>
  <si>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</si>
  <si>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</si>
  <si>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</si>
  <si>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</si>
  <si>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</si>
  <si>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</si>
  <si>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</si>
  <si>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</si>
  <si>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</si>
  <si>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</si>
  <si>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</si>
  <si>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</si>
  <si>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</si>
  <si>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</si>
  <si>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</si>
  <si>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</si>
  <si>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</si>
  <si>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</si>
  <si>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</si>
  <si>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</si>
  <si>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</si>
  <si>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</si>
  <si>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</si>
  <si>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</si>
  <si>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</si>
  <si>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</si>
  <si>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</si>
  <si>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</si>
  <si>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</si>
  <si>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</si>
  <si>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</si>
  <si>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</si>
  <si>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</si>
  <si>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</si>
  <si>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</si>
  <si>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</si>
  <si>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</si>
  <si>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</si>
  <si>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</si>
  <si>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</si>
  <si>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</si>
  <si>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</si>
  <si>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</si>
  <si>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</si>
  <si>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</si>
  <si>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</si>
  <si>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</si>
  <si>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</si>
  <si>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</si>
  <si>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</si>
  <si>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</si>
  <si>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</si>
  <si>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</si>
  <si>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</si>
  <si>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</si>
  <si>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</si>
  <si>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</si>
  <si>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</si>
  <si>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</si>
  <si>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</si>
  <si>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</si>
  <si>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</si>
  <si>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</si>
  <si>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</si>
  <si>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</si>
  <si>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</si>
  <si>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</si>
  <si>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</si>
  <si>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</si>
  <si>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</si>
  <si>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</si>
  <si>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</si>
  <si>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</si>
  <si>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</si>
  <si>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</si>
  <si>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</si>
  <si>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</si>
  <si>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</si>
  <si>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</si>
  <si>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</si>
  <si>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</si>
  <si>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</si>
  <si>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</si>
  <si>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</si>
  <si>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</si>
  <si>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</si>
  <si>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</si>
  <si>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</si>
  <si>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</si>
  <si>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</si>
  <si>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</si>
  <si>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</si>
  <si>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</si>
  <si>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</si>
  <si>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</si>
  <si>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</si>
  <si>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</si>
  <si>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</si>
  <si>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</si>
  <si>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</si>
  <si>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</si>
  <si>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</si>
  <si>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</si>
  <si>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</si>
  <si>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</si>
  <si>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</si>
  <si>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</si>
  <si>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</si>
  <si>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</si>
  <si>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</si>
  <si>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</si>
  <si>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</si>
  <si>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</si>
  <si>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</si>
  <si>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</si>
  <si>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</si>
  <si>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</si>
  <si>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</si>
  <si>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</si>
  <si>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</si>
  <si>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</si>
  <si>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</si>
  <si>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</si>
  <si>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</si>
  <si>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</si>
  <si>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</si>
  <si>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</si>
  <si>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</si>
  <si>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</si>
  <si>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</si>
  <si>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</si>
  <si>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</si>
  <si>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</si>
  <si>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</si>
  <si>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</si>
  <si>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</si>
  <si>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</si>
  <si>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</si>
  <si>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</si>
  <si>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</si>
  <si>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</si>
  <si>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</si>
  <si>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</si>
  <si>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</si>
  <si>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</si>
  <si>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</si>
  <si>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</si>
  <si>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</si>
  <si>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</si>
  <si>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</si>
  <si>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</si>
  <si>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</si>
  <si>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</si>
  <si>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</si>
  <si>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</si>
  <si>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</si>
  <si>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</si>
  <si>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</si>
  <si>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</si>
  <si>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</si>
  <si>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</si>
  <si>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</si>
  <si>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</si>
  <si>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</si>
  <si>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</si>
  <si>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</si>
  <si>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</si>
  <si>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</si>
  <si>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</si>
  <si>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</si>
  <si>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</si>
  <si>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</si>
  <si>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</si>
  <si>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</si>
  <si>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</si>
  <si>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</si>
  <si>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</si>
  <si>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</si>
  <si>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</si>
  <si>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</si>
  <si>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</si>
  <si>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</si>
  <si>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</si>
  <si>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</si>
  <si>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</si>
  <si>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</si>
  <si>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</si>
  <si>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</si>
  <si>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</si>
  <si>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</si>
  <si>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</si>
  <si>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</si>
  <si>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</si>
  <si>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</si>
  <si>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</si>
  <si>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</si>
  <si>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</si>
  <si>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</si>
  <si>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</si>
  <si>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</si>
  <si>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</si>
  <si>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</si>
  <si>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</si>
  <si>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</si>
  <si>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</si>
  <si>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</si>
  <si>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</si>
  <si>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</si>
  <si>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</si>
  <si>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</si>
  <si>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</si>
  <si>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</si>
  <si>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</si>
  <si>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</si>
  <si>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</si>
  <si>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</si>
  <si>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</si>
  <si>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</si>
  <si>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</si>
  <si>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</si>
  <si>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</si>
  <si>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</si>
  <si>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</si>
  <si>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</si>
  <si>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</si>
  <si>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</si>
  <si>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</si>
  <si>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</si>
  <si>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</si>
  <si>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</si>
  <si>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</si>
  <si>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</si>
  <si>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</si>
  <si>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</si>
  <si>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</si>
  <si>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</si>
  <si>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</si>
  <si>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</si>
  <si>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</si>
  <si>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</si>
  <si>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</si>
  <si>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</si>
  <si>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</si>
  <si>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</si>
  <si>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</si>
  <si>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</si>
  <si>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</si>
  <si>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</si>
  <si>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</si>
  <si>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</si>
  <si>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</si>
  <si>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</si>
  <si>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</si>
  <si>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</si>
  <si>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</si>
  <si>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</si>
  <si>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</si>
  <si>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</si>
  <si>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</si>
  <si>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</si>
  <si>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</si>
  <si>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</si>
  <si>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</si>
  <si>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</si>
  <si>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</si>
  <si>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</si>
  <si>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</si>
  <si>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</si>
  <si>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</si>
  <si>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</si>
  <si>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</si>
  <si>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</si>
  <si>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</si>
  <si>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</si>
  <si>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</si>
  <si>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</si>
  <si>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</si>
  <si>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</si>
  <si>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</si>
  <si>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</si>
  <si>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</si>
  <si>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</si>
  <si>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</si>
  <si>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</si>
  <si>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</si>
  <si>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</si>
  <si>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</si>
  <si>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</si>
  <si>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</si>
  <si>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</si>
  <si>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</si>
  <si>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</si>
  <si>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</si>
  <si>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</si>
  <si>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</si>
  <si>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</si>
  <si>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</si>
  <si>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</si>
  <si>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</si>
  <si>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</si>
  <si>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</si>
  <si>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</si>
  <si>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</si>
  <si>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</si>
  <si>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</si>
  <si>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</si>
  <si>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</si>
  <si>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</si>
  <si>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</si>
  <si>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</si>
  <si>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</si>
  <si>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</si>
  <si>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</si>
  <si>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</si>
  <si>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</si>
  <si>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</si>
  <si>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</si>
  <si>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</si>
  <si>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</si>
  <si>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</si>
  <si>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</si>
  <si>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</si>
  <si>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</si>
  <si>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</si>
  <si>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</si>
  <si>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</si>
  <si>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</si>
  <si>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</si>
  <si>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</si>
  <si>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</si>
  <si>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</si>
  <si>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</si>
  <si>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</si>
  <si>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</si>
  <si>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</si>
  <si>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</si>
  <si>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</si>
  <si>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</si>
  <si>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</si>
  <si>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</si>
  <si>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</si>
  <si>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</si>
  <si>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</si>
  <si>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</si>
  <si>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</si>
  <si>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</si>
  <si>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</si>
  <si>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</si>
  <si>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</si>
  <si>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</si>
  <si>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</si>
  <si>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</si>
  <si>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</si>
  <si>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</si>
  <si>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</si>
  <si>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</si>
  <si>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</si>
  <si>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</si>
  <si>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</si>
  <si>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</si>
  <si>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</si>
  <si>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</si>
  <si>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</si>
  <si>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</si>
  <si>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</si>
  <si>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</si>
  <si>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</si>
  <si>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</si>
  <si>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</si>
  <si>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</si>
  <si>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</si>
  <si>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</si>
  <si>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</si>
  <si>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</si>
  <si>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</si>
  <si>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</si>
  <si>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</si>
  <si>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</si>
  <si>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</si>
  <si>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</si>
  <si>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</si>
  <si>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</si>
  <si>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</si>
  <si>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</si>
  <si>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</si>
  <si>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</si>
  <si>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</si>
  <si>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</si>
  <si>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</si>
  <si>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</si>
  <si>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</si>
  <si>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</si>
  <si>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</si>
  <si>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</si>
  <si>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</si>
  <si>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</si>
  <si>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</si>
  <si>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</si>
  <si>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</si>
  <si>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</si>
  <si>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</si>
  <si>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</si>
  <si>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</si>
  <si>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</si>
  <si>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</si>
  <si>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</si>
  <si>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</si>
  <si>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</si>
  <si>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</si>
  <si>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</si>
  <si>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</si>
  <si>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</si>
  <si>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</si>
  <si>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</si>
  <si>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</si>
  <si>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</si>
  <si>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</si>
  <si>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</si>
  <si>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</si>
  <si>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</si>
  <si>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</si>
  <si>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</si>
  <si>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</si>
  <si>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</si>
  <si>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</si>
  <si>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</si>
  <si>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</si>
  <si>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</si>
  <si>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</si>
  <si>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</si>
  <si>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</si>
  <si>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</si>
  <si>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</si>
  <si>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</si>
  <si>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</si>
  <si>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</si>
  <si>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</si>
  <si>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</si>
  <si>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</si>
  <si>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</si>
  <si>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</si>
  <si>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</si>
  <si>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</si>
  <si>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</si>
  <si>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</si>
  <si>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</si>
  <si>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</si>
  <si>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</si>
  <si>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</si>
  <si>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</si>
  <si>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</si>
  <si>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</si>
  <si>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</si>
  <si>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</si>
  <si>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</si>
  <si>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</si>
  <si>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</si>
  <si>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</si>
  <si>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</si>
  <si>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</si>
  <si>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</si>
  <si>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</si>
  <si>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</si>
  <si>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</si>
  <si>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</si>
  <si>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</si>
  <si>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</si>
  <si>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</si>
  <si>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</si>
  <si>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</si>
  <si>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</si>
  <si>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</si>
  <si>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</si>
  <si>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</si>
  <si>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</si>
  <si>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</si>
  <si>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</si>
  <si>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</si>
  <si>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</si>
  <si>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</si>
  <si>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</si>
  <si>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</si>
  <si>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</si>
  <si>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</si>
  <si>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</si>
  <si>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</si>
  <si>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</si>
  <si>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</si>
  <si>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</si>
  <si>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</si>
  <si>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</si>
  <si>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</si>
  <si>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</si>
  <si>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</si>
  <si>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</si>
  <si>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</si>
  <si>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</si>
  <si>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</si>
  <si>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</si>
  <si>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</si>
  <si>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</si>
  <si>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</si>
  <si>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</si>
  <si>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</si>
  <si>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</si>
  <si>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</si>
  <si>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</si>
  <si>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</si>
  <si>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</si>
  <si>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</si>
  <si>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</si>
  <si>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</si>
  <si>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</si>
  <si>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</si>
  <si>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</si>
  <si>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</si>
  <si>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</si>
  <si>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</si>
  <si>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</si>
  <si>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</si>
  <si>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</si>
  <si>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</si>
  <si>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</si>
  <si>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</si>
  <si>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</si>
  <si>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</si>
  <si>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</si>
  <si>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</si>
  <si>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</si>
  <si>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</si>
  <si>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</si>
  <si>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</si>
  <si>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</si>
  <si>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</si>
  <si>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</si>
  <si>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</si>
  <si>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</si>
  <si>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</si>
  <si>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</si>
  <si>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</si>
  <si>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</si>
  <si>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</si>
  <si>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</si>
  <si>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</si>
  <si>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</si>
  <si>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</si>
  <si>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</si>
  <si>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</si>
  <si>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</si>
  <si>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</si>
  <si>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</si>
  <si>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</si>
  <si>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</si>
  <si>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</si>
  <si>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</si>
  <si>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</si>
  <si>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</si>
  <si>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</si>
  <si>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</si>
  <si>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</si>
  <si>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</si>
  <si>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</si>
  <si>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</si>
  <si>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</si>
  <si>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</si>
  <si>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</si>
  <si>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</si>
  <si>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</si>
  <si>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</si>
  <si>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</si>
  <si>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</si>
  <si>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</si>
  <si>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</si>
  <si>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</si>
  <si>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</si>
  <si>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</si>
  <si>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</si>
  <si>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</si>
  <si>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</si>
  <si>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</si>
  <si>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</si>
  <si>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</si>
  <si>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</si>
  <si>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</si>
  <si>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</si>
  <si>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</si>
  <si>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</si>
  <si>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</si>
  <si>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</si>
  <si>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</si>
  <si>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</si>
  <si>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</si>
  <si>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</si>
  <si>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</si>
  <si>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</si>
  <si>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</si>
  <si>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</si>
  <si>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</si>
  <si>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</si>
  <si>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</si>
  <si>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</si>
  <si>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</si>
  <si>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</si>
  <si>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</si>
  <si>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</si>
  <si>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</si>
  <si>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</si>
  <si>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</si>
  <si>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</si>
  <si>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</si>
  <si>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</si>
  <si>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</si>
  <si>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</si>
  <si>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</si>
  <si>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</si>
  <si>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</si>
  <si>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</si>
  <si>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</si>
  <si>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</si>
  <si>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</si>
  <si>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</si>
  <si>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</si>
  <si>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</si>
  <si>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</si>
  <si>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</si>
  <si>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</si>
  <si>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</si>
  <si>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</si>
  <si>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</si>
  <si>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</si>
  <si>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</si>
  <si>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</si>
  <si>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</si>
  <si>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</si>
  <si>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</si>
  <si>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</si>
  <si>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</si>
  <si>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</si>
  <si>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</si>
  <si>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</si>
  <si>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</si>
  <si>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</si>
  <si>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</si>
  <si>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</si>
  <si>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</si>
  <si>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</si>
  <si>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</si>
  <si>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</si>
  <si>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</si>
  <si>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</si>
  <si>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</si>
  <si>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</si>
  <si>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</si>
  <si>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</si>
  <si>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</si>
  <si>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</si>
  <si>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</si>
  <si>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</si>
  <si>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</si>
  <si>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</si>
  <si>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</si>
  <si>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</si>
  <si>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</si>
  <si>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</si>
  <si>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</si>
  <si>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</si>
  <si>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</si>
  <si>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</si>
  <si>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</si>
  <si>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</si>
  <si>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</si>
  <si>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</si>
  <si>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</si>
  <si>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</si>
  <si>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</si>
  <si>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</si>
  <si>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</si>
  <si>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</si>
  <si>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</si>
  <si>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</si>
  <si>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</si>
  <si>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</si>
  <si>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</si>
  <si>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</si>
  <si>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</si>
  <si>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</si>
  <si>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</si>
  <si>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</si>
  <si>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</si>
  <si>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</si>
  <si>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</si>
  <si>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</si>
  <si>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</si>
  <si>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</si>
  <si>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</si>
  <si>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</si>
  <si>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</si>
  <si>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</si>
  <si>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</si>
  <si>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</si>
  <si>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</si>
  <si>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</si>
  <si>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</si>
  <si>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</si>
  <si>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</si>
  <si>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</si>
  <si>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</si>
  <si>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</si>
  <si>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</si>
  <si>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</si>
  <si>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</si>
  <si>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</si>
  <si>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</si>
  <si>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</si>
  <si>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</si>
  <si>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</si>
  <si>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</si>
  <si>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</si>
  <si>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</si>
  <si>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</si>
  <si>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</si>
  <si>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</si>
  <si>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</si>
  <si>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</si>
  <si>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</si>
  <si>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</si>
  <si>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</si>
  <si>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</si>
  <si>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</si>
  <si>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</si>
  <si>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</si>
  <si>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</si>
  <si>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</si>
  <si>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</si>
  <si>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</si>
  <si>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</si>
  <si>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</si>
  <si>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</si>
  <si>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</si>
  <si>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</si>
  <si>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</si>
  <si>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</si>
  <si>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</si>
  <si>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</si>
  <si>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</si>
  <si>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</si>
  <si>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</si>
  <si>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</si>
  <si>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</si>
  <si>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</si>
  <si>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</si>
  <si>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</si>
  <si>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</si>
  <si>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</si>
  <si>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</si>
  <si>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</si>
  <si>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</si>
  <si>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</si>
  <si>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</si>
  <si>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</si>
  <si>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</si>
  <si>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</si>
  <si>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</si>
  <si>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</si>
  <si>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</si>
  <si>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</si>
  <si>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</si>
  <si>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</si>
  <si>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</si>
  <si>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</si>
  <si>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</si>
  <si>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</si>
  <si>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</si>
  <si>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</si>
  <si>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</si>
  <si>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</si>
  <si>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</si>
  <si>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</si>
  <si>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</si>
  <si>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</si>
  <si>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</si>
  <si>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</si>
  <si>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</si>
  <si>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</si>
  <si>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</si>
  <si>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</si>
  <si>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</si>
  <si>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</si>
  <si>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</si>
  <si>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</si>
  <si>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</si>
  <si>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</si>
  <si>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</si>
  <si>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</si>
  <si>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</si>
  <si>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</si>
  <si>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</si>
  <si>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</si>
  <si>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</si>
  <si>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</si>
  <si>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</si>
  <si>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</si>
  <si>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</si>
  <si>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</si>
  <si>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</si>
  <si>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</si>
  <si>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</si>
  <si>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</si>
  <si>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</si>
  <si>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</si>
  <si>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</si>
  <si>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</si>
  <si>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</si>
  <si>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</si>
  <si>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</si>
  <si>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</si>
  <si>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</si>
  <si>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</si>
  <si>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</si>
  <si>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</si>
  <si>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</si>
  <si>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</si>
  <si>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</si>
  <si>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</si>
  <si>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</si>
  <si>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</si>
  <si>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</si>
  <si>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</si>
  <si>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</si>
  <si>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</si>
  <si>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</si>
  <si>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</si>
  <si>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</si>
  <si>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</si>
  <si>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</si>
  <si>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</si>
  <si>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</si>
  <si>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</si>
  <si>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</si>
  <si>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</si>
  <si>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</si>
  <si>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</si>
  <si>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</si>
  <si>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</si>
  <si>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</si>
  <si>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</si>
  <si>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</si>
  <si>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</si>
  <si>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</si>
  <si>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</si>
  <si>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</si>
  <si>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</si>
  <si>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</si>
  <si>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</si>
  <si>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</si>
  <si>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</si>
  <si>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</si>
  <si>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</si>
  <si>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</si>
  <si>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</si>
  <si>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</si>
  <si>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</si>
  <si>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</si>
  <si>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</si>
  <si>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</si>
  <si>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</si>
  <si>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</si>
  <si>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</si>
  <si>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</si>
  <si>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</si>
  <si>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</si>
  <si>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</si>
  <si>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</si>
  <si>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</si>
  <si>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</si>
  <si>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</si>
  <si>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</si>
  <si>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</si>
  <si>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</si>
  <si>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</si>
  <si>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</si>
  <si>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</si>
  <si>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</si>
  <si>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</si>
  <si>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</si>
  <si>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</si>
  <si>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</si>
  <si>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</si>
  <si>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</si>
  <si>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</si>
  <si>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</si>
  <si>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</si>
  <si>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</si>
  <si>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</si>
  <si>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</si>
  <si>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</si>
  <si>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</si>
  <si>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</si>
  <si>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</si>
  <si>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</si>
  <si>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</si>
  <si>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</si>
  <si>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</si>
  <si>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</si>
  <si>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</si>
  <si>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</si>
  <si>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</si>
  <si>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</si>
  <si>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</si>
  <si>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</si>
  <si>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</si>
  <si>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</si>
  <si>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</si>
  <si>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</si>
  <si>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</si>
  <si>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</si>
  <si>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</si>
  <si>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</si>
  <si>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</si>
  <si>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</si>
  <si>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</si>
  <si>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</si>
  <si>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</si>
  <si>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</si>
  <si>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</si>
  <si>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</si>
  <si>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</si>
  <si>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</si>
  <si>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</si>
  <si>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</si>
  <si>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</si>
  <si>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</si>
  <si>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</si>
  <si>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</si>
  <si>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</si>
  <si>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</si>
  <si>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</si>
  <si>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</si>
  <si>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</si>
  <si>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</si>
  <si>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</si>
  <si>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</si>
  <si>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</si>
  <si>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</si>
  <si>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</si>
  <si>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</si>
  <si>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</si>
  <si>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</si>
  <si>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</si>
  <si>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</si>
  <si>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</si>
  <si>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</si>
  <si>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</si>
  <si>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</si>
  <si>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</si>
  <si>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</si>
  <si>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</si>
  <si>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</si>
  <si>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</si>
  <si>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</si>
  <si>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</si>
  <si>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</si>
  <si>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</si>
  <si>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</si>
  <si>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</si>
  <si>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</si>
  <si>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</si>
  <si>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</si>
  <si>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</si>
  <si>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</si>
  <si>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</si>
  <si>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</si>
  <si>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</si>
  <si>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</si>
  <si>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</si>
  <si>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</si>
  <si>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</si>
  <si>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</si>
  <si>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</si>
  <si>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</si>
  <si>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</si>
  <si>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</si>
  <si>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</si>
  <si>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</si>
  <si>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</si>
  <si>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</si>
  <si>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</si>
  <si>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</si>
  <si>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</si>
  <si>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</si>
  <si>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</si>
  <si>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</si>
  <si>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</si>
  <si>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</si>
  <si>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</si>
  <si>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</si>
  <si>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</si>
  <si>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</si>
  <si>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</si>
  <si>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</si>
  <si>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</si>
  <si>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</si>
  <si>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</si>
  <si>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</si>
  <si>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</si>
  <si>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</si>
  <si>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</si>
  <si>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</si>
  <si>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</si>
  <si>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</si>
  <si>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</si>
  <si>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</si>
  <si>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</si>
  <si>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</si>
  <si>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</si>
  <si>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</si>
  <si>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</si>
  <si>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</si>
  <si>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</si>
  <si>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</si>
  <si>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</si>
  <si>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</si>
  <si>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</si>
  <si>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</si>
  <si>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</si>
  <si>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</si>
  <si>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</si>
  <si>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</si>
  <si>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</si>
  <si>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</si>
  <si>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</si>
  <si>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</si>
  <si>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</si>
  <si>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</si>
  <si>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</si>
  <si>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</si>
  <si>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</si>
  <si>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</si>
  <si>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</si>
  <si>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</si>
  <si>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</si>
  <si>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</si>
  <si>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</si>
  <si>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</si>
  <si>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</si>
  <si>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</si>
  <si>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</si>
  <si>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</si>
  <si>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</si>
  <si>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</si>
  <si>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</si>
  <si>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</si>
  <si>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</si>
  <si>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</si>
  <si>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</si>
  <si>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</si>
  <si>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</si>
  <si>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</si>
  <si>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</si>
  <si>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</si>
  <si>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</si>
  <si>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</si>
  <si>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</si>
  <si>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</si>
  <si>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</si>
  <si>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</si>
  <si>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</si>
  <si>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</si>
  <si>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</si>
  <si>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</si>
  <si>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</si>
  <si>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</si>
  <si>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</si>
  <si>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</si>
  <si>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</si>
  <si>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</si>
  <si>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</si>
  <si>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</si>
  <si>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</si>
  <si>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</si>
  <si>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</si>
  <si>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</si>
  <si>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</si>
  <si>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</si>
  <si>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</si>
  <si>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</si>
  <si>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</si>
  <si>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</si>
  <si>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</si>
  <si>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</si>
  <si>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</si>
  <si>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</si>
  <si>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</si>
  <si>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</si>
  <si>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</si>
  <si>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</si>
  <si>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</si>
  <si>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</si>
  <si>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</si>
  <si>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</si>
  <si>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</si>
  <si>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</si>
  <si>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</si>
  <si>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</si>
  <si>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</si>
  <si>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</si>
  <si>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</si>
  <si>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</si>
  <si>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</si>
  <si>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</si>
  <si>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</si>
  <si>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</si>
  <si>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</si>
  <si>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</si>
  <si>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</si>
  <si>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</si>
  <si>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</si>
  <si>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</si>
  <si>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</si>
  <si>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</si>
  <si>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</si>
  <si>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</si>
  <si>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</si>
  <si>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</si>
  <si>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</si>
  <si>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</si>
  <si>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</si>
  <si>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</si>
  <si>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</si>
  <si>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</si>
  <si>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</si>
  <si>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</si>
  <si>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</si>
  <si>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</si>
  <si>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</si>
  <si>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</si>
  <si>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</si>
  <si>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</si>
  <si>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</si>
  <si>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</si>
  <si>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</si>
  <si>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</si>
  <si>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</si>
  <si>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</si>
  <si>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</si>
  <si>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</si>
  <si>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</si>
  <si>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</si>
  <si>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</si>
  <si>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</si>
  <si>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</si>
  <si>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</si>
  <si>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</si>
  <si>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</si>
  <si>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</si>
  <si>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</si>
  <si>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</si>
  <si>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</si>
  <si>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</si>
  <si>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</si>
  <si>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</si>
  <si>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</si>
  <si>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</si>
  <si>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</si>
  <si>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</si>
  <si>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</si>
  <si>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</si>
  <si>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</si>
  <si>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</si>
  <si>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</si>
  <si>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</si>
  <si>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</si>
  <si>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</si>
  <si>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</si>
  <si>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</si>
  <si>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</si>
  <si>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</si>
  <si>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</si>
  <si>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</si>
  <si>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</si>
  <si>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</si>
  <si>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</si>
  <si>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</si>
  <si>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</si>
  <si>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</si>
  <si>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</si>
  <si>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</si>
  <si>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</si>
  <si>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</si>
  <si>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</si>
  <si>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</si>
  <si>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</si>
  <si>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</si>
  <si>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</si>
  <si>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</si>
  <si>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</si>
  <si>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</si>
  <si>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</si>
  <si>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</si>
  <si>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</si>
  <si>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</si>
  <si>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</si>
  <si>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</si>
  <si>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</si>
  <si>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</si>
  <si>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</si>
  <si>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</si>
  <si>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</si>
  <si>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</si>
  <si>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</si>
  <si>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</si>
  <si>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</si>
  <si>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</si>
  <si>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</si>
  <si>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</si>
  <si>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</si>
  <si>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</si>
  <si>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</si>
  <si>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</si>
  <si>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</si>
  <si>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</si>
  <si>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</si>
  <si>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</si>
  <si>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</si>
  <si>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</si>
  <si>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</si>
  <si>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</si>
  <si>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</si>
  <si>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</si>
  <si>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</si>
  <si>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</si>
  <si>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</si>
  <si>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</si>
  <si>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</si>
  <si>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</si>
  <si>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</si>
  <si>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</si>
  <si>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</si>
  <si>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</si>
  <si>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</si>
  <si>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</si>
  <si>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</si>
  <si>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</si>
  <si>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</si>
  <si>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</si>
  <si>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</si>
  <si>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</si>
  <si>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</si>
  <si>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</si>
  <si>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</si>
  <si>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</si>
  <si>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</si>
  <si>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</si>
  <si>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</si>
  <si>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</si>
  <si>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</si>
  <si>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</si>
  <si>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</si>
  <si>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</si>
  <si>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</si>
  <si>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</si>
  <si>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</si>
  <si>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</si>
  <si>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</si>
  <si>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</si>
  <si>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</si>
  <si>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</si>
  <si>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</si>
  <si>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</si>
  <si>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</si>
  <si>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</si>
  <si>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</si>
  <si>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</si>
  <si>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</si>
  <si>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</si>
  <si>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</si>
  <si>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</si>
  <si>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</si>
  <si>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</si>
  <si>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</si>
  <si>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</si>
  <si>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</si>
  <si>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</si>
  <si>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</si>
  <si>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</si>
  <si>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</si>
  <si>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</si>
  <si>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</si>
  <si>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</si>
  <si>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</si>
  <si>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</si>
  <si>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</si>
  <si>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</si>
  <si>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</si>
  <si>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</si>
  <si>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</si>
  <si>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</si>
  <si>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</si>
  <si>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</si>
  <si>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</si>
  <si>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</si>
  <si>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</si>
  <si>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</si>
  <si>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</si>
  <si>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</si>
  <si>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</si>
  <si>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</si>
  <si>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</si>
  <si>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</si>
  <si>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</si>
  <si>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</si>
  <si>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</si>
  <si>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</si>
  <si>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</si>
  <si>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</si>
  <si>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</si>
  <si>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</si>
  <si>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</si>
  <si>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</si>
  <si>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</si>
  <si>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</si>
  <si>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</si>
  <si>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</si>
  <si>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</si>
  <si>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</si>
  <si>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</si>
  <si>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</si>
  <si>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</si>
  <si>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</si>
  <si>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</si>
  <si>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</si>
  <si>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</si>
  <si>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</si>
  <si>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</si>
  <si>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</si>
  <si>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</si>
  <si>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</si>
  <si>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</si>
  <si>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</si>
  <si>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</si>
  <si>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</si>
  <si>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</si>
  <si>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</si>
  <si>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</si>
  <si>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</si>
  <si>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</si>
  <si>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</si>
  <si>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</si>
  <si>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</si>
  <si>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</si>
  <si>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</si>
  <si>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</si>
  <si>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</si>
  <si>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</si>
  <si>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</si>
  <si>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</si>
  <si>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</si>
  <si>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</si>
  <si>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</si>
  <si>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</si>
  <si>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</si>
  <si>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</si>
  <si>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</si>
  <si>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</si>
  <si>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</si>
  <si>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</si>
  <si>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</si>
  <si>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</si>
  <si>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</si>
  <si>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</si>
  <si>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</si>
  <si>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</si>
  <si>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</si>
  <si>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</si>
  <si>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</si>
  <si>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</si>
  <si>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</si>
  <si>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</si>
  <si>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</si>
  <si>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</si>
  <si>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</si>
  <si>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</si>
  <si>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</si>
  <si>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</si>
  <si>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</si>
  <si>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</si>
  <si>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</si>
  <si>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</si>
  <si>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</si>
  <si>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</si>
  <si>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</si>
  <si>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</si>
  <si>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</si>
  <si>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</si>
  <si>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</si>
  <si>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</si>
  <si>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</si>
  <si>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</si>
  <si>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</si>
  <si>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</si>
  <si>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</si>
  <si>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</si>
  <si>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</si>
  <si>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</si>
  <si>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</si>
  <si>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</si>
  <si>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</si>
  <si>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</si>
  <si>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</si>
  <si>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</si>
  <si>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</si>
  <si>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</si>
  <si>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</si>
  <si>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</si>
  <si>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</si>
  <si>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</si>
  <si>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</si>
  <si>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</si>
  <si>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</si>
  <si>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</si>
  <si>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</si>
  <si>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</si>
  <si>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</si>
  <si>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</si>
  <si>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</si>
  <si>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</si>
  <si>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</si>
  <si>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</si>
  <si>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</si>
  <si>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</si>
  <si>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</si>
  <si>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</si>
  <si>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</si>
  <si>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</si>
  <si>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</si>
  <si>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</si>
  <si>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</si>
  <si>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</si>
  <si>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</si>
  <si>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</si>
  <si>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</si>
  <si>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</si>
  <si>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</si>
  <si>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</si>
  <si>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</si>
  <si>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</si>
  <si>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</si>
  <si>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</si>
  <si>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</si>
  <si>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</si>
  <si>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</si>
  <si>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</si>
  <si>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</si>
  <si>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</si>
  <si>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</si>
  <si>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</si>
  <si>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</si>
  <si>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</si>
  <si>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</si>
  <si>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</si>
  <si>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</si>
  <si>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</si>
  <si>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</si>
  <si>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</si>
  <si>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</si>
  <si>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</si>
  <si>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</si>
  <si>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</si>
  <si>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</si>
  <si>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</si>
  <si>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</si>
  <si>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</si>
  <si>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</si>
  <si>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</si>
  <si>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</si>
  <si>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</si>
  <si>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</si>
  <si>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</si>
  <si>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</si>
  <si>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</si>
  <si>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</si>
  <si>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</si>
  <si>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</si>
  <si>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</si>
  <si>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</si>
  <si>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</si>
  <si>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</si>
  <si>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</si>
  <si>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</si>
  <si>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</si>
  <si>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</si>
  <si>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</si>
  <si>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</si>
  <si>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</si>
  <si>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</si>
  <si>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</si>
  <si>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</si>
  <si>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</si>
  <si>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</si>
  <si>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</si>
  <si>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</si>
  <si>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</si>
  <si>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</si>
  <si>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</si>
  <si>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</si>
  <si>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</si>
  <si>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</si>
  <si>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</si>
  <si>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</si>
  <si>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</si>
  <si>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</si>
  <si>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</si>
  <si>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</si>
  <si>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</si>
  <si>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</si>
  <si>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</si>
  <si>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</si>
  <si>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</si>
  <si>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</si>
  <si>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</si>
  <si>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</si>
  <si>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</si>
  <si>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</si>
  <si>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</si>
  <si>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</si>
  <si>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</si>
  <si>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</si>
  <si>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</si>
  <si>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</si>
  <si>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</si>
  <si>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</si>
  <si>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</si>
  <si>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</si>
  <si>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</si>
  <si>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</si>
  <si>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</si>
  <si>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</si>
  <si>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</si>
  <si>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</si>
  <si>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</si>
  <si>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</si>
  <si>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</si>
  <si>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</si>
  <si>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</si>
  <si>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</si>
  <si>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</si>
  <si>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</si>
  <si>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</si>
  <si>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</si>
  <si>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</si>
  <si>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</si>
  <si>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</si>
  <si>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</si>
  <si>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</si>
  <si>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</si>
  <si>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</si>
  <si>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</si>
  <si>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</si>
  <si>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</si>
  <si>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</si>
  <si>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</si>
  <si>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</si>
  <si>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</si>
  <si>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</si>
  <si>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</si>
  <si>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</si>
  <si>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</si>
  <si>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</si>
  <si>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</si>
  <si>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</si>
  <si>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</si>
  <si>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</si>
  <si>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</si>
  <si>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</si>
  <si>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</si>
  <si>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</si>
  <si>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</si>
  <si>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</si>
  <si>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</si>
  <si>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</si>
  <si>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</si>
  <si>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</si>
  <si>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</si>
  <si>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</si>
  <si>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</si>
  <si>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</si>
  <si>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</si>
  <si>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</si>
  <si>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</si>
  <si>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</si>
  <si>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</si>
  <si>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</si>
  <si>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</si>
  <si>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</si>
  <si>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</si>
  <si>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</si>
  <si>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</si>
  <si>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</si>
  <si>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</si>
  <si>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</si>
  <si>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</si>
  <si>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</si>
  <si>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</si>
  <si>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</si>
  <si>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</si>
  <si>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</si>
  <si>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</si>
  <si>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</si>
  <si>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</si>
  <si>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</si>
  <si>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</si>
  <si>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</si>
  <si>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</si>
  <si>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</si>
  <si>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</si>
  <si>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</si>
  <si>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</si>
  <si>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</si>
  <si>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</si>
  <si>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</si>
  <si>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</si>
  <si>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</si>
  <si>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</si>
  <si>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</si>
  <si>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</si>
  <si>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</si>
  <si>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</si>
  <si>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</si>
  <si>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</si>
  <si>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</si>
  <si>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</si>
  <si>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</si>
  <si>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</si>
  <si>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</si>
  <si>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</si>
  <si>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</si>
  <si>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</si>
  <si>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</si>
  <si>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</si>
  <si>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</si>
  <si>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</si>
  <si>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</si>
  <si>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</si>
  <si>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</si>
  <si>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</si>
  <si>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</si>
  <si>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</si>
  <si>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</si>
  <si>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</si>
  <si>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</si>
  <si>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</si>
  <si>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</si>
  <si>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</si>
  <si>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</si>
  <si>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</si>
  <si>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</si>
  <si>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</si>
  <si>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</si>
  <si>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</si>
  <si>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</si>
  <si>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</si>
  <si>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</si>
  <si>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</si>
  <si>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</si>
  <si>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</si>
  <si>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</si>
  <si>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</si>
  <si>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</si>
  <si>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</si>
  <si>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</si>
  <si>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</si>
  <si>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</si>
  <si>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</si>
  <si>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</si>
  <si>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</si>
  <si>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</si>
  <si>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</si>
  <si>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</si>
  <si>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</si>
  <si>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</si>
  <si>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</si>
  <si>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</si>
  <si>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</si>
  <si>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</si>
  <si>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</si>
  <si>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</si>
  <si>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</si>
  <si>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</si>
  <si>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</si>
  <si>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</si>
  <si>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</si>
  <si>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</si>
  <si>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</si>
  <si>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</si>
  <si>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</si>
  <si>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</si>
  <si>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</si>
  <si>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</si>
  <si>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</si>
  <si>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</si>
  <si>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</si>
  <si>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</si>
  <si>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</si>
  <si>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</si>
  <si>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</si>
  <si>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</si>
  <si>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</si>
  <si>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</si>
  <si>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</si>
  <si>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</si>
  <si>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</si>
  <si>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</si>
  <si>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</si>
  <si>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</si>
  <si>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</si>
  <si>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</si>
  <si>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</si>
  <si>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</si>
  <si>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</si>
  <si>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</si>
  <si>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</si>
  <si>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</si>
  <si>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</si>
  <si>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</si>
  <si>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</si>
  <si>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</si>
  <si>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</si>
  <si>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</si>
  <si>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</si>
  <si>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</si>
  <si>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</si>
  <si>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</si>
  <si>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</si>
  <si>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</si>
  <si>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</si>
  <si>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</si>
  <si>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</si>
  <si>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</si>
  <si>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</si>
  <si>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</si>
  <si>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</si>
  <si>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</si>
  <si>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</si>
  <si>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</si>
  <si>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</si>
  <si>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</si>
  <si>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</si>
  <si>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</si>
  <si>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</si>
  <si>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</si>
  <si>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</si>
  <si>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</si>
  <si>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</si>
  <si>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</si>
  <si>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</si>
  <si>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</si>
  <si>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</si>
  <si>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</si>
  <si>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</si>
  <si>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</si>
  <si>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</si>
  <si>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</si>
  <si>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</si>
  <si>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</si>
  <si>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</si>
  <si>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</si>
  <si>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</si>
  <si>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</si>
  <si>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</si>
  <si>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</si>
  <si>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</si>
  <si>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</si>
  <si>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</si>
  <si>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</si>
  <si>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</si>
  <si>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</si>
  <si>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</si>
  <si>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</si>
  <si>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</si>
  <si>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</si>
  <si>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</si>
  <si>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</si>
  <si>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</si>
  <si>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</si>
  <si>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</si>
  <si>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</si>
  <si>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</si>
  <si>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</si>
  <si>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</si>
  <si>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</si>
  <si>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</si>
  <si>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</si>
  <si>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</si>
  <si>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</si>
  <si>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</si>
  <si>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</si>
  <si>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</si>
  <si>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</si>
  <si>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</si>
  <si>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</si>
  <si>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</si>
  <si>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</si>
  <si>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</si>
  <si>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</si>
  <si>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</si>
  <si>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</si>
  <si>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</si>
  <si>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</si>
  <si>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</si>
  <si>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</si>
  <si>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</si>
  <si>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</si>
  <si>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</si>
  <si>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</si>
  <si>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</si>
  <si>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</si>
  <si>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</si>
  <si>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</si>
  <si>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</si>
  <si>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</si>
  <si>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</si>
  <si>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</si>
  <si>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</si>
  <si>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</si>
  <si>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</si>
  <si>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</si>
  <si>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</si>
  <si>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</si>
  <si>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</si>
  <si>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</si>
  <si>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</si>
  <si>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</si>
  <si>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</si>
  <si>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</si>
  <si>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</si>
  <si>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</si>
  <si>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</si>
  <si>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</si>
  <si>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</si>
  <si>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</si>
  <si>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</si>
  <si>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</si>
  <si>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</si>
  <si>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</si>
  <si>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</si>
  <si>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</si>
  <si>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</si>
  <si>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</si>
  <si>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</si>
  <si>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</si>
  <si>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</si>
  <si>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</si>
  <si>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</si>
  <si>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</si>
  <si>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</si>
  <si>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</si>
  <si>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</si>
  <si>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</si>
  <si>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</si>
  <si>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</si>
  <si>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</si>
  <si>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</si>
  <si>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</si>
  <si>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</si>
  <si>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</si>
  <si>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</si>
  <si>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</si>
  <si>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</si>
  <si>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</si>
  <si>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</si>
  <si>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</si>
  <si>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</si>
  <si>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</si>
  <si>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</si>
  <si>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</si>
  <si>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</si>
  <si>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</si>
  <si>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</si>
  <si>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</si>
  <si>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</si>
  <si>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</si>
  <si>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</si>
  <si>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</si>
  <si>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</si>
  <si>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</si>
  <si>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</si>
  <si>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</si>
  <si>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</si>
  <si>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</si>
  <si>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</si>
  <si>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</si>
  <si>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</si>
  <si>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</si>
  <si>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</si>
  <si>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</si>
  <si>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</si>
  <si>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</si>
  <si>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</si>
  <si>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</si>
  <si>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</si>
  <si>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</si>
  <si>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</si>
  <si>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</si>
  <si>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</si>
  <si>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</si>
  <si>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</si>
  <si>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</si>
  <si>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</si>
  <si>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</si>
  <si>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</si>
  <si>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</si>
  <si>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</si>
  <si>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</si>
  <si>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</si>
  <si>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</si>
  <si>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</si>
  <si>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</si>
  <si>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</si>
  <si>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</si>
  <si>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</si>
  <si>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</si>
  <si>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</si>
  <si>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</si>
  <si>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</si>
  <si>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</si>
  <si>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</si>
  <si>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</si>
  <si>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</si>
  <si>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</si>
  <si>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</si>
  <si>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</si>
  <si>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</si>
  <si>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</si>
  <si>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</si>
  <si>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</si>
  <si>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</si>
  <si>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</si>
  <si>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</si>
  <si>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</si>
  <si>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</si>
  <si>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</si>
  <si>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</si>
  <si>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</si>
  <si>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</si>
  <si>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</si>
  <si>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</si>
  <si>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</si>
  <si>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</si>
  <si>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</si>
  <si>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</si>
  <si>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</si>
  <si>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</si>
  <si>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</si>
  <si>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</si>
  <si>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</si>
  <si>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</si>
  <si>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</si>
  <si>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</si>
  <si>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</si>
  <si>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</si>
  <si>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</si>
  <si>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</si>
  <si>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</si>
  <si>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</si>
  <si>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</si>
  <si>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</si>
  <si>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</si>
  <si>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</si>
  <si>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</si>
  <si>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</si>
  <si>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</si>
  <si>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</si>
  <si>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</si>
  <si>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</si>
  <si>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</si>
  <si>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</si>
  <si>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</si>
  <si>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</si>
  <si>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</si>
  <si>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</si>
  <si>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</si>
  <si>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</si>
  <si>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</si>
  <si>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</si>
  <si>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</si>
  <si>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</si>
  <si>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</si>
  <si>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</si>
  <si>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</si>
  <si>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</si>
  <si>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</si>
  <si>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</si>
  <si>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</si>
  <si>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</si>
  <si>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</si>
  <si>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</si>
  <si>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</si>
  <si>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</si>
  <si>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</si>
  <si>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</si>
  <si>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</si>
  <si>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</si>
  <si>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</si>
  <si>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</si>
  <si>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</si>
  <si>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</si>
  <si>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</si>
  <si>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</si>
  <si>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</si>
  <si>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</si>
  <si>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</si>
  <si>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</si>
  <si>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</si>
  <si>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</si>
  <si>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</si>
  <si>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</si>
  <si>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</si>
  <si>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</si>
  <si>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</si>
  <si>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</si>
  <si>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</si>
  <si>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</si>
  <si>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</si>
  <si>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</si>
  <si>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</si>
  <si>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</si>
  <si>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</si>
  <si>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</si>
  <si>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</si>
  <si>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</si>
  <si>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</si>
  <si>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</si>
  <si>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</si>
  <si>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</si>
  <si>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</si>
  <si>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</si>
  <si>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</si>
  <si>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</si>
  <si>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</si>
  <si>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</si>
  <si>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</si>
  <si>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</si>
  <si>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</si>
  <si>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</si>
  <si>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</si>
  <si>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</si>
  <si>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</si>
  <si>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</si>
  <si>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</si>
  <si>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</si>
  <si>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</si>
  <si>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</si>
  <si>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</si>
  <si>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</si>
  <si>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</si>
  <si>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</si>
  <si>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</si>
  <si>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</si>
  <si>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</si>
  <si>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</si>
  <si>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</si>
  <si>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</si>
  <si>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</si>
  <si>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</si>
  <si>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</si>
  <si>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</si>
  <si>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</si>
  <si>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</si>
  <si>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</si>
  <si>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</si>
  <si>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</si>
  <si>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</si>
  <si>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</si>
  <si>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</si>
  <si>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</si>
  <si>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</si>
  <si>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</si>
  <si>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</si>
  <si>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</si>
  <si>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</si>
  <si>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</si>
  <si>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</si>
  <si>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</si>
  <si>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</si>
  <si>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</si>
  <si>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</si>
  <si>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</si>
  <si>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</si>
  <si>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</si>
  <si>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</si>
  <si>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</si>
  <si>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</si>
  <si>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</si>
  <si>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</si>
  <si>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</si>
  <si>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</si>
  <si>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</si>
  <si>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</si>
  <si>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</si>
  <si>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</si>
  <si>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</si>
  <si>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</si>
  <si>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</si>
  <si>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</si>
  <si>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</si>
  <si>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</si>
  <si>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</si>
  <si>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</si>
  <si>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</si>
  <si>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</si>
  <si>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</si>
  <si>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</si>
  <si>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</si>
  <si>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</si>
  <si>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</si>
  <si>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</si>
  <si>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</si>
  <si>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</si>
  <si>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</si>
  <si>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</si>
  <si>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</si>
  <si>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</si>
  <si>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</si>
  <si>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</si>
  <si>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</si>
  <si>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</si>
  <si>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</si>
  <si>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</si>
  <si>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</si>
  <si>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</si>
  <si>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</si>
  <si>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</si>
  <si>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</si>
  <si>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</si>
  <si>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</si>
  <si>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</si>
  <si>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</si>
  <si>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</si>
  <si>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</si>
  <si>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</si>
  <si>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</si>
  <si>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</si>
  <si>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</si>
  <si>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</si>
  <si>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</si>
  <si>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</si>
  <si>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</si>
  <si>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</si>
  <si>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</si>
  <si>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</si>
  <si>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</si>
  <si>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</si>
  <si>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</si>
  <si>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</si>
  <si>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</si>
  <si>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</si>
  <si>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</si>
  <si>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</si>
  <si>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</si>
  <si>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</si>
  <si>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</si>
  <si>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</si>
  <si>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</si>
  <si>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</si>
  <si>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</si>
  <si>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</si>
  <si>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</si>
  <si>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</si>
  <si>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</si>
  <si>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</si>
  <si>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</si>
  <si>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</si>
  <si>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</si>
  <si>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</si>
  <si>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</si>
  <si>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</si>
  <si>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</si>
  <si>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</si>
  <si>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</si>
  <si>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</si>
  <si>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</si>
  <si>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</si>
  <si>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</si>
  <si>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</si>
  <si>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</si>
  <si>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</si>
  <si>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</si>
  <si>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</si>
  <si>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</si>
  <si>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</si>
  <si>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</si>
  <si>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</si>
  <si>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</si>
  <si>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</si>
  <si>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</si>
  <si>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</si>
  <si>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</si>
  <si>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</si>
  <si>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</si>
  <si>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</si>
  <si>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</si>
  <si>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</si>
  <si>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</si>
  <si>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</si>
  <si>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</si>
  <si>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</si>
  <si>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</si>
  <si>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</si>
  <si>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</si>
  <si>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</si>
  <si>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</si>
  <si>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</si>
  <si>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</si>
  <si>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</si>
  <si>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</si>
  <si>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</si>
  <si>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</si>
  <si>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</si>
  <si>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</si>
  <si>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</si>
  <si>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</si>
  <si>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</si>
  <si>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</si>
  <si>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</si>
  <si>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</si>
  <si>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</si>
  <si>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</si>
  <si>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</si>
  <si>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</si>
  <si>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</si>
  <si>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</si>
  <si>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</si>
  <si>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</si>
  <si>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</si>
  <si>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</si>
  <si>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</si>
  <si>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</si>
  <si>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</si>
  <si>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</si>
  <si>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</si>
  <si>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</si>
  <si>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</si>
  <si>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</si>
  <si>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</si>
  <si>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</si>
  <si>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</si>
  <si>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</si>
  <si>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</si>
  <si>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</si>
  <si>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</si>
  <si>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</si>
  <si>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</si>
  <si>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</si>
  <si>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</si>
  <si>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</si>
  <si>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</si>
  <si>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</si>
  <si>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</si>
  <si>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</si>
  <si>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</si>
  <si>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</si>
  <si>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</si>
  <si>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</si>
  <si>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</si>
  <si>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</si>
  <si>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</si>
  <si>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</si>
  <si>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</si>
  <si>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</si>
  <si>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</si>
  <si>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</si>
  <si>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</si>
  <si>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</si>
  <si>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</si>
  <si>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</si>
  <si>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</si>
  <si>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</si>
  <si>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</si>
  <si>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</si>
  <si>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</si>
  <si>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</si>
  <si>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</si>
  <si>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</si>
  <si>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</si>
  <si>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</si>
  <si>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</si>
  <si>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</si>
  <si>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</si>
  <si>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</si>
  <si>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</si>
  <si>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</si>
  <si>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</si>
  <si>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</si>
  <si>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</si>
  <si>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</si>
  <si>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</si>
  <si>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</si>
  <si>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</si>
  <si>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</si>
  <si>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</si>
  <si>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</si>
  <si>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</si>
  <si>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</si>
  <si>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</si>
  <si>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</si>
  <si>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</si>
  <si>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</si>
  <si>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</si>
  <si>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</si>
  <si>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</si>
  <si>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</si>
  <si>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</si>
  <si>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</si>
  <si>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</si>
  <si>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</si>
  <si>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</si>
  <si>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</si>
  <si>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</si>
  <si>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</si>
  <si>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</si>
  <si>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</si>
  <si>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</si>
  <si>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</si>
  <si>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</si>
  <si>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</si>
  <si>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</si>
  <si>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</si>
  <si>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</si>
  <si>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</si>
  <si>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</si>
  <si>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</si>
  <si>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</si>
  <si>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</si>
  <si>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</si>
  <si>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</si>
  <si>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</si>
  <si>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</si>
  <si>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</si>
  <si>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</si>
  <si>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</si>
  <si>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</si>
  <si>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</si>
  <si>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</si>
  <si>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</si>
  <si>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</si>
  <si>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</si>
  <si>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</si>
  <si>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</si>
  <si>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</si>
  <si>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</si>
  <si>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</si>
  <si>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</si>
  <si>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</si>
  <si>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</si>
  <si>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</si>
  <si>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</si>
  <si>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</si>
  <si>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</si>
  <si>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</si>
  <si>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</si>
  <si>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</si>
  <si>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</si>
  <si>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</si>
  <si>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</si>
  <si>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</si>
  <si>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</si>
  <si>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</si>
  <si>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</si>
  <si>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</si>
  <si>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</si>
  <si>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</si>
  <si>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</si>
  <si>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</si>
  <si>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</si>
  <si>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</si>
  <si>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</si>
  <si>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</si>
  <si>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</si>
  <si>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</si>
  <si>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</si>
  <si>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</si>
  <si>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</si>
  <si>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</si>
  <si>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</si>
  <si>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</si>
  <si>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</si>
  <si>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</si>
  <si>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</si>
  <si>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</si>
  <si>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</si>
  <si>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</si>
  <si>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</si>
  <si>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</si>
  <si>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</si>
  <si>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</si>
  <si>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</si>
  <si>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</si>
  <si>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</si>
  <si>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</si>
  <si>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</si>
  <si>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</si>
  <si>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</si>
  <si>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</si>
  <si>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</si>
  <si>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</si>
  <si>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</si>
  <si>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</si>
  <si>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</si>
  <si>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</si>
  <si>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</si>
  <si>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</si>
  <si>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</si>
  <si>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</si>
  <si>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</si>
  <si>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</si>
  <si>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</si>
  <si>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</si>
  <si>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</si>
  <si>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</si>
  <si>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</si>
  <si>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</si>
  <si>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</si>
  <si>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</si>
  <si>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</si>
  <si>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</si>
  <si>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</si>
  <si>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</si>
  <si>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</si>
  <si>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</si>
  <si>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</si>
  <si>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</si>
  <si>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</si>
  <si>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</si>
  <si>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</si>
  <si>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</si>
  <si>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</si>
  <si>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</si>
  <si>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</si>
  <si>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</si>
  <si>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</si>
  <si>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</si>
  <si>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</si>
  <si>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</si>
  <si>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</si>
  <si>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</si>
  <si>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</si>
  <si>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</si>
  <si>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</si>
  <si>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</si>
  <si>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</si>
  <si>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</si>
  <si>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</si>
  <si>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</si>
  <si>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</si>
  <si>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</si>
  <si>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</si>
  <si>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</si>
  <si>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</si>
  <si>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</si>
  <si>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</si>
  <si>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</si>
  <si>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</si>
  <si>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</si>
  <si>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</si>
  <si>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</si>
  <si>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</si>
  <si>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</si>
  <si>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</si>
  <si>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</si>
  <si>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</si>
  <si>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</si>
  <si>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</si>
  <si>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</si>
  <si>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</si>
  <si>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</si>
  <si>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</si>
  <si>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</si>
  <si>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</si>
  <si>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</si>
  <si>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</si>
  <si>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</si>
  <si>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</si>
  <si>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</si>
  <si>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</si>
  <si>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</si>
  <si>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</si>
  <si>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</si>
  <si>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</si>
  <si>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</si>
  <si>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</si>
  <si>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</si>
  <si>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</si>
  <si>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</si>
  <si>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</si>
  <si>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</si>
  <si>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</si>
  <si>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</si>
  <si>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</si>
  <si>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</si>
  <si>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</si>
  <si>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</si>
  <si>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</si>
  <si>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</si>
  <si>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</si>
  <si>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</si>
  <si>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</si>
  <si>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</si>
  <si>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</si>
  <si>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</si>
  <si>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</si>
  <si>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</si>
  <si>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</si>
  <si>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</si>
  <si>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</si>
  <si>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</si>
  <si>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</si>
  <si>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</si>
  <si>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</si>
  <si>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</si>
  <si>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</si>
  <si>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</si>
  <si>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</si>
  <si>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</si>
  <si>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</si>
  <si>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</si>
  <si>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</si>
  <si>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</si>
  <si>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</si>
  <si>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</si>
  <si>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</si>
  <si>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</si>
  <si>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</si>
  <si>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</si>
  <si>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</si>
  <si>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</si>
  <si>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</si>
  <si>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</si>
  <si>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</si>
  <si>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</si>
  <si>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</si>
  <si>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</si>
  <si>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</si>
  <si>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</si>
  <si>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</si>
  <si>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</si>
  <si>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</si>
  <si>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</si>
  <si>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</si>
  <si>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</si>
  <si>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</si>
  <si>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</si>
  <si>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</si>
  <si>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</si>
  <si>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</si>
  <si>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</si>
  <si>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</si>
  <si>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</si>
  <si>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</si>
  <si>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</si>
  <si>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</si>
  <si>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</si>
  <si>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</si>
  <si>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</si>
  <si>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</si>
  <si>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</si>
  <si>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</si>
  <si>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</si>
  <si>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</si>
  <si>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</si>
  <si>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</si>
  <si>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</si>
  <si>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</si>
  <si>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</si>
  <si>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</si>
  <si>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</si>
  <si>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</si>
  <si>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</si>
  <si>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</si>
  <si>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</si>
  <si>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</si>
  <si>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</si>
  <si>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</si>
  <si>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</si>
  <si>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</si>
  <si>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</si>
  <si>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</si>
  <si>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</si>
  <si>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</si>
  <si>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</si>
  <si>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</si>
  <si>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</si>
  <si>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</si>
  <si>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</si>
  <si>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</si>
  <si>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</si>
  <si>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</si>
  <si>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</si>
  <si>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</si>
  <si>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</si>
  <si>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</si>
  <si>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</si>
  <si>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</si>
  <si>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</si>
  <si>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</si>
  <si>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</si>
  <si>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</si>
  <si>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</si>
  <si>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</si>
  <si>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</si>
  <si>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</si>
  <si>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</si>
  <si>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</si>
  <si>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</si>
  <si>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</si>
  <si>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</si>
  <si>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</si>
  <si>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</si>
  <si>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</si>
  <si>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</si>
  <si>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</si>
  <si>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</si>
  <si>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</si>
  <si>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</si>
  <si>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</si>
  <si>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</si>
  <si>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</si>
  <si>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</si>
  <si>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</si>
  <si>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</si>
  <si>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</si>
  <si>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</si>
  <si>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</si>
  <si>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</si>
  <si>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</si>
  <si>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</si>
  <si>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</si>
  <si>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</si>
  <si>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</si>
  <si>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</si>
  <si>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</si>
  <si>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</si>
  <si>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</si>
  <si>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</si>
  <si>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</si>
  <si>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</si>
  <si>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</si>
  <si>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</si>
  <si>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</si>
  <si>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</si>
  <si>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</si>
  <si>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</si>
  <si>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</si>
  <si>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</si>
  <si>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</si>
  <si>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</si>
  <si>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</si>
  <si>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</si>
  <si>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</si>
  <si>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</si>
  <si>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</si>
  <si>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</si>
  <si>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</si>
  <si>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</si>
  <si>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</si>
  <si>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</si>
  <si>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</si>
  <si>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</si>
  <si>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</si>
  <si>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</si>
  <si>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</si>
  <si>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</si>
  <si>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</si>
  <si>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</si>
  <si>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</si>
  <si>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</si>
  <si>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</si>
  <si>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</si>
  <si>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</si>
  <si>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</si>
  <si>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</si>
  <si>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</si>
  <si>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</si>
  <si>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</si>
  <si>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</si>
  <si>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</si>
  <si>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</si>
  <si>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</si>
  <si>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</si>
  <si>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</si>
  <si>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</si>
  <si>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</si>
  <si>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</si>
  <si>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</si>
  <si>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</si>
  <si>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</si>
  <si>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</si>
  <si>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</si>
  <si>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</si>
  <si>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</si>
  <si>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</si>
  <si>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</si>
  <si>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</si>
  <si>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</si>
  <si>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</si>
  <si>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</si>
  <si>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</si>
  <si>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</si>
  <si>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</si>
  <si>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</si>
  <si>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</si>
  <si>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</si>
  <si>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</si>
  <si>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</si>
  <si>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</si>
  <si>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</si>
  <si>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</si>
  <si>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</si>
  <si>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</si>
  <si>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</si>
  <si>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</si>
  <si>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</si>
  <si>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</si>
  <si>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</si>
  <si>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</si>
  <si>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</si>
  <si>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</si>
  <si>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</si>
  <si>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</si>
  <si>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</si>
  <si>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</si>
  <si>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</si>
  <si>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</si>
  <si>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</si>
  <si>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</si>
  <si>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</si>
  <si>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</si>
  <si>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</si>
  <si>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</si>
  <si>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</si>
  <si>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</si>
  <si>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</si>
  <si>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</si>
  <si>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</si>
  <si>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</si>
  <si>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</si>
  <si>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</si>
  <si>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</si>
  <si>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</si>
  <si>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</si>
  <si>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</si>
  <si>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</si>
  <si>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</si>
  <si>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</si>
  <si>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</si>
  <si>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</si>
  <si>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</si>
  <si>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</si>
  <si>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</si>
  <si>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</si>
  <si>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</si>
  <si>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</si>
  <si>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</si>
  <si>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</si>
  <si>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</si>
  <si>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</si>
  <si>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</si>
  <si>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</si>
  <si>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</si>
  <si>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</si>
  <si>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</si>
  <si>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</si>
  <si>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</si>
  <si>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</si>
  <si>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</si>
  <si>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</si>
  <si>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</si>
  <si>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</si>
  <si>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</si>
  <si>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</si>
  <si>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</si>
  <si>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</si>
  <si>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</si>
  <si>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</si>
  <si>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</si>
  <si>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</si>
  <si>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</si>
  <si>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</si>
  <si>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</si>
  <si>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</si>
  <si>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</si>
  <si>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</si>
  <si>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</si>
  <si>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</si>
  <si>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</si>
  <si>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</si>
  <si>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</si>
  <si>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</si>
  <si>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</si>
  <si>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</si>
  <si>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</si>
  <si>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</si>
  <si>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</si>
  <si>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</si>
  <si>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</si>
  <si>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</si>
  <si>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</si>
  <si>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</si>
  <si>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</si>
  <si>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</si>
  <si>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</si>
  <si>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</si>
  <si>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</si>
  <si>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</si>
  <si>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</si>
  <si>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</si>
  <si>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</si>
  <si>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</si>
  <si>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</si>
  <si>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</si>
  <si>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</si>
  <si>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</si>
  <si>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</si>
  <si>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</si>
  <si>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</si>
  <si>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</si>
  <si>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</si>
  <si>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</si>
  <si>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</si>
  <si>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</si>
  <si>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</si>
  <si>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</si>
  <si>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</si>
  <si>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</si>
  <si>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</si>
  <si>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</si>
  <si>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</si>
  <si>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</si>
  <si>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</si>
  <si>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</si>
  <si>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</si>
  <si>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</si>
  <si>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</si>
  <si>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</si>
  <si>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</si>
  <si>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</si>
  <si>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</si>
  <si>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</si>
  <si>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</si>
  <si>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</si>
  <si>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</si>
  <si>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</si>
  <si>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</si>
  <si>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</si>
  <si>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</si>
  <si>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</si>
  <si>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</si>
  <si>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</si>
  <si>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</si>
  <si>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</si>
  <si>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</si>
  <si>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</si>
  <si>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</si>
  <si>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</si>
  <si>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</si>
  <si>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</si>
  <si>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</si>
  <si>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</si>
  <si>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</si>
  <si>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</si>
  <si>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</si>
  <si>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</si>
  <si>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</si>
  <si>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</si>
  <si>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</si>
  <si>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</si>
  <si>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</si>
  <si>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</si>
  <si>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</si>
  <si>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</si>
  <si>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</si>
  <si>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</si>
  <si>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</si>
  <si>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</si>
  <si>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</si>
  <si>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</si>
  <si>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</si>
  <si>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</si>
  <si>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</si>
  <si>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</si>
  <si>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</si>
  <si>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</si>
  <si>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</si>
  <si>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</si>
  <si>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</si>
  <si>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</si>
  <si>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</si>
  <si>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</si>
  <si>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</si>
  <si>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</si>
  <si>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</si>
  <si>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</si>
  <si>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</si>
  <si>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</si>
  <si>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</si>
  <si>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</si>
  <si>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</si>
  <si>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</si>
  <si>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</si>
  <si>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</si>
  <si>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</si>
  <si>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</si>
  <si>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</si>
  <si>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</si>
  <si>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</si>
  <si>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</si>
  <si>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</si>
  <si>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</si>
  <si>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</si>
  <si>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</si>
  <si>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</si>
  <si>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</si>
  <si>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</si>
  <si>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</si>
  <si>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</si>
  <si>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</si>
  <si>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</si>
  <si>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</si>
  <si>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</si>
  <si>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</si>
  <si>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</si>
  <si>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</si>
  <si>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</si>
  <si>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</si>
  <si>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</si>
  <si>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</si>
  <si>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</si>
  <si>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</si>
  <si>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</si>
  <si>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</si>
  <si>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</si>
  <si>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</si>
  <si>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</si>
  <si>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</si>
  <si>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</si>
  <si>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</si>
  <si>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</si>
  <si>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</si>
  <si>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</si>
  <si>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</si>
  <si>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</si>
  <si>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</si>
  <si>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</si>
  <si>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</si>
  <si>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</si>
  <si>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</si>
  <si>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</si>
  <si>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</si>
  <si>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</si>
  <si>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</si>
  <si>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</si>
  <si>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</si>
  <si>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</si>
  <si>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</si>
  <si>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</si>
  <si>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</si>
  <si>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</si>
  <si>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</si>
  <si>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</si>
  <si>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</si>
  <si>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</si>
  <si>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</si>
  <si>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</si>
  <si>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</si>
  <si>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</si>
  <si>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</si>
  <si>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</si>
  <si>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</si>
  <si>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</si>
  <si>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</si>
  <si>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</si>
  <si>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</si>
  <si>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</si>
  <si>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</si>
  <si>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</si>
  <si>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</si>
  <si>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</si>
  <si>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</si>
  <si>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</si>
  <si>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</si>
  <si>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</si>
  <si>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</si>
  <si>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</si>
  <si>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</si>
  <si>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</si>
  <si>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</si>
  <si>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</si>
  <si>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</si>
  <si>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</si>
  <si>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</si>
  <si>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</si>
  <si>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</si>
  <si>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</si>
  <si>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</si>
  <si>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</si>
  <si>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</si>
  <si>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</si>
  <si>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</si>
  <si>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</si>
  <si>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</si>
  <si>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</si>
  <si>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</si>
  <si>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</si>
  <si>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</si>
  <si>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</si>
  <si>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</si>
  <si>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</si>
  <si>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</si>
  <si>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</si>
  <si>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</si>
  <si>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</si>
  <si>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</si>
  <si>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</si>
  <si>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</si>
  <si>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</si>
  <si>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</si>
  <si>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</si>
  <si>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</si>
  <si>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</si>
  <si>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</si>
  <si>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</si>
  <si>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</si>
  <si>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</si>
  <si>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</si>
  <si>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</si>
  <si>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</si>
  <si>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</si>
  <si>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</si>
  <si>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</si>
  <si>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</si>
  <si>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</si>
  <si>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</si>
  <si>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</si>
  <si>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</si>
  <si>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</si>
  <si>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</si>
  <si>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</si>
  <si>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</si>
  <si>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</si>
  <si>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</si>
  <si>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</si>
  <si>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</si>
  <si>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</si>
  <si>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</si>
  <si>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</si>
  <si>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</si>
  <si>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</si>
  <si>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</si>
  <si>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</si>
  <si>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</si>
  <si>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</si>
  <si>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</si>
  <si>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</si>
  <si>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</si>
  <si>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</si>
  <si>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</si>
  <si>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</si>
  <si>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</si>
  <si>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</si>
  <si>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</si>
  <si>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</si>
  <si>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</si>
  <si>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</si>
  <si>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</si>
  <si>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</si>
  <si>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</si>
  <si>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</si>
  <si>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</si>
  <si>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</si>
  <si>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</si>
  <si>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</si>
  <si>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</si>
  <si>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</si>
  <si>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</si>
  <si>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</si>
  <si>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</si>
  <si>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</si>
  <si>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</si>
  <si>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</si>
  <si>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</si>
  <si>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</si>
  <si>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</si>
  <si>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</si>
  <si>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</si>
  <si>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</si>
  <si>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</si>
  <si>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</si>
  <si>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</si>
  <si>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</si>
  <si>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</si>
  <si>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</si>
  <si>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</si>
  <si>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</si>
  <si>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</si>
  <si>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</si>
  <si>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</si>
  <si>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</si>
  <si>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</si>
  <si>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</si>
  <si>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</si>
  <si>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</si>
  <si>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</si>
  <si>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</si>
  <si>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</si>
  <si>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</si>
  <si>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</si>
  <si>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</si>
  <si>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</si>
  <si>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</si>
  <si>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</si>
  <si>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</si>
  <si>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</si>
  <si>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</si>
  <si>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</si>
  <si>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</si>
  <si>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</si>
  <si>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</si>
  <si>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</si>
  <si>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</si>
  <si>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</si>
  <si>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</si>
  <si>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</si>
  <si>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</si>
  <si>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</si>
  <si>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</si>
  <si>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</si>
  <si>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</si>
  <si>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</si>
  <si>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</si>
  <si>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</si>
  <si>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</si>
  <si>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</si>
  <si>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</si>
  <si>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</si>
  <si>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</si>
  <si>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</si>
  <si>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</si>
  <si>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</si>
  <si>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</si>
  <si>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</si>
  <si>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</si>
  <si>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</si>
  <si>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</si>
  <si>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</si>
  <si>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</si>
  <si>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</si>
  <si>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</si>
  <si>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</si>
  <si>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</si>
  <si>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</si>
  <si>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</si>
  <si>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</si>
  <si>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</si>
  <si>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</si>
  <si>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</si>
  <si>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</si>
  <si>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</si>
  <si>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</si>
  <si>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</si>
  <si>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</si>
  <si>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</si>
  <si>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</si>
  <si>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</si>
  <si>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</si>
  <si>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</si>
  <si>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</si>
  <si>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</si>
  <si>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</si>
  <si>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</si>
  <si>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</si>
  <si>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</si>
  <si>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</si>
  <si>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</si>
  <si>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</si>
  <si>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</si>
  <si>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</si>
  <si>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</si>
  <si>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</si>
  <si>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</si>
  <si>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</si>
  <si>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</si>
  <si>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</si>
  <si>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</si>
  <si>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</si>
  <si>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</si>
  <si>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</si>
  <si>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</si>
  <si>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</si>
  <si>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</si>
  <si>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</si>
  <si>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</si>
  <si>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</si>
  <si>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</si>
  <si>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</si>
  <si>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</si>
  <si>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</si>
  <si>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</si>
  <si>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</si>
  <si>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</si>
  <si>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</si>
  <si>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</si>
  <si>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</si>
  <si>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</si>
  <si>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</si>
  <si>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</si>
  <si>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</si>
  <si>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</si>
  <si>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</si>
  <si>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</si>
  <si>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</si>
  <si>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</si>
  <si>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</si>
  <si>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</si>
  <si>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</si>
  <si>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</si>
  <si>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</si>
  <si>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</si>
  <si>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</si>
  <si>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</si>
  <si>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</si>
  <si>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</si>
  <si>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</si>
  <si>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</si>
  <si>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</si>
  <si>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</si>
  <si>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</si>
  <si>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</si>
  <si>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</si>
  <si>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</si>
  <si>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</si>
  <si>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</si>
  <si>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</si>
  <si>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</si>
  <si>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</si>
  <si>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</si>
  <si>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</si>
  <si>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</si>
  <si>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</si>
  <si>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</si>
  <si>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</si>
  <si>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</si>
  <si>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</si>
  <si>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</si>
  <si>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</si>
  <si>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</si>
  <si>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</si>
  <si>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</si>
  <si>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</si>
  <si>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</si>
  <si>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</si>
  <si>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</si>
  <si>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</si>
  <si>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</si>
  <si>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</si>
  <si>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</si>
  <si>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</si>
  <si>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</si>
  <si>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</si>
  <si>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</si>
  <si>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</si>
  <si>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</si>
  <si>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</si>
  <si>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</si>
  <si>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</si>
  <si>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</si>
  <si>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</si>
  <si>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</si>
  <si>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</si>
  <si>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</si>
  <si>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</si>
  <si>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</si>
  <si>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</si>
  <si>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</si>
  <si>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</si>
  <si>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</si>
  <si>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</si>
  <si>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</si>
  <si>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</si>
  <si>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</si>
  <si>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</si>
  <si>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</si>
  <si>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</si>
  <si>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</si>
  <si>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</si>
  <si>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</si>
  <si>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</si>
  <si>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</si>
  <si>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</si>
  <si>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</si>
  <si>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</si>
  <si>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</si>
  <si>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</si>
  <si>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</si>
  <si>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</si>
  <si>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</si>
  <si>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</si>
  <si>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</si>
  <si>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</si>
  <si>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</si>
  <si>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</si>
  <si>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</si>
  <si>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</si>
  <si>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</si>
  <si>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</si>
  <si>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</si>
  <si>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</si>
  <si>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</si>
  <si>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</si>
  <si>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</si>
  <si>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</si>
  <si>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</si>
  <si>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</si>
  <si>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</si>
  <si>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</si>
  <si>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</si>
  <si>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</si>
  <si>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</si>
  <si>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</si>
  <si>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</si>
  <si>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</si>
  <si>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</si>
  <si>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</si>
  <si>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</si>
  <si>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</si>
  <si>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</si>
  <si>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</si>
  <si>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</si>
  <si>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</si>
  <si>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</si>
  <si>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</si>
  <si>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</si>
  <si>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</si>
  <si>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</si>
  <si>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</si>
  <si>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</si>
  <si>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</si>
  <si>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</si>
  <si>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</si>
  <si>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</si>
  <si>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</si>
  <si>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</si>
  <si>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</si>
  <si>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</si>
  <si>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</si>
  <si>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</si>
  <si>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</si>
  <si>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</si>
  <si>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</si>
  <si>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</si>
  <si>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</si>
  <si>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</si>
  <si>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</si>
  <si>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</si>
  <si>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</si>
  <si>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</si>
  <si>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</si>
  <si>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</si>
  <si>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</si>
  <si>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</si>
  <si>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</si>
  <si>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</si>
  <si>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</si>
  <si>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</si>
  <si>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</si>
  <si>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</si>
  <si>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</si>
  <si>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</si>
  <si>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</si>
  <si>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</si>
  <si>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</si>
  <si>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</si>
  <si>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</si>
  <si>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</si>
  <si>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</si>
  <si>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</si>
  <si>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</si>
  <si>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</si>
  <si>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</si>
  <si>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</si>
  <si>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</si>
  <si>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</si>
  <si>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</si>
  <si>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</si>
  <si>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</si>
  <si>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</si>
  <si>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</si>
  <si>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</si>
  <si>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</si>
  <si>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</si>
  <si>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</si>
  <si>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</si>
  <si>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</si>
  <si>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</si>
  <si>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</si>
  <si>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</si>
  <si>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</si>
  <si>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</si>
  <si>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</si>
  <si>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</si>
  <si>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</si>
  <si>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</si>
  <si>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</si>
  <si>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</si>
  <si>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</si>
  <si>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</si>
  <si>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</si>
  <si>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</si>
  <si>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</si>
  <si>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</si>
  <si>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</si>
  <si>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</si>
  <si>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</si>
  <si>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</si>
  <si>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</si>
  <si>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</si>
  <si>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</si>
  <si>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</si>
  <si>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</si>
  <si>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</si>
  <si>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</si>
  <si>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</si>
  <si>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</si>
  <si>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</si>
  <si>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</si>
  <si>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</si>
  <si>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</si>
  <si>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</si>
  <si>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</si>
  <si>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</si>
  <si>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</si>
  <si>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</si>
  <si>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</si>
  <si>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</si>
  <si>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</si>
  <si>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</si>
  <si>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</si>
  <si>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</si>
  <si>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</si>
  <si>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</si>
  <si>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</si>
  <si>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</si>
  <si>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</si>
  <si>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</si>
  <si>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</si>
  <si>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</si>
  <si>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</si>
  <si>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</si>
  <si>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</si>
  <si>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</si>
  <si>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</si>
  <si>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</si>
  <si>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</si>
  <si>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</si>
  <si>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</si>
  <si>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</si>
  <si>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</si>
  <si>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</si>
  <si>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</si>
  <si>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</si>
  <si>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</si>
  <si>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</si>
  <si>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</si>
  <si>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</si>
  <si>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</si>
  <si>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</si>
  <si>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</si>
  <si>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</si>
  <si>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</si>
  <si>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</si>
  <si>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</si>
  <si>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</si>
  <si>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</si>
  <si>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</si>
  <si>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</si>
  <si>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</si>
  <si>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</si>
  <si>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</si>
  <si>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</si>
  <si>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</si>
  <si>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</si>
  <si>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</si>
  <si>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</si>
  <si>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</si>
  <si>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</si>
  <si>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</si>
  <si>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</si>
  <si>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</si>
  <si>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</si>
  <si>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</si>
  <si>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</si>
  <si>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</si>
  <si>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</si>
  <si>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</si>
  <si>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</si>
  <si>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</si>
  <si>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</si>
  <si>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</si>
  <si>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</si>
  <si>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</si>
  <si>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</si>
  <si>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</si>
  <si>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</si>
  <si>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</si>
  <si>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</si>
  <si>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</si>
  <si>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</si>
  <si>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</si>
  <si>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</si>
  <si>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</si>
  <si>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</si>
  <si>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</si>
  <si>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</si>
  <si>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</si>
  <si>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</si>
  <si>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</si>
  <si>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</si>
  <si>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</si>
  <si>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</si>
  <si>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</si>
  <si>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</si>
  <si>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</si>
  <si>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</si>
  <si>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</si>
  <si>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</si>
  <si>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</si>
  <si>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</si>
  <si>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</si>
  <si>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</si>
  <si>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</si>
  <si>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</si>
  <si>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</si>
  <si>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</si>
  <si>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</si>
  <si>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</si>
  <si>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</si>
  <si>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</si>
  <si>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</si>
  <si>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</si>
  <si>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</si>
  <si>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</si>
  <si>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</si>
  <si>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</si>
  <si>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</si>
  <si>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</si>
  <si>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</si>
  <si>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</si>
  <si>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</si>
  <si>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</si>
  <si>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</si>
  <si>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</si>
  <si>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</si>
  <si>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</si>
  <si>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</si>
  <si>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</si>
  <si>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</si>
  <si>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</si>
  <si>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</si>
  <si>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</si>
  <si>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</si>
  <si>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</si>
  <si>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</si>
  <si>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</si>
  <si>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</si>
  <si>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</si>
  <si>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</si>
  <si>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</si>
  <si>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</si>
  <si>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</si>
  <si>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</si>
  <si>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</si>
  <si>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</si>
  <si>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</si>
  <si>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</si>
  <si>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</si>
  <si>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</si>
  <si>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</si>
  <si>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</si>
  <si>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</si>
  <si>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</si>
  <si>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</si>
  <si>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</si>
  <si>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</si>
  <si>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</si>
  <si>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</si>
  <si>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</si>
  <si>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</si>
  <si>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</si>
  <si>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</si>
  <si>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</si>
  <si>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</si>
  <si>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</si>
  <si>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</si>
  <si>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</si>
  <si>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</si>
  <si>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</si>
  <si>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</si>
  <si>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</si>
  <si>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</si>
  <si>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</si>
  <si>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</si>
  <si>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</si>
  <si>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</si>
  <si>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</si>
  <si>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</si>
  <si>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</si>
  <si>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</si>
  <si>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</si>
  <si>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</si>
  <si>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</si>
  <si>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</si>
  <si>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</si>
  <si>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</si>
  <si>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</si>
  <si>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</si>
  <si>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</si>
  <si>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</si>
  <si>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</si>
  <si>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</si>
  <si>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</si>
  <si>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</si>
  <si>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</si>
  <si>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</si>
  <si>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</si>
  <si>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</si>
  <si>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</si>
  <si>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</si>
  <si>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</si>
  <si>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</si>
  <si>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</si>
  <si>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</si>
  <si>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</si>
  <si>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</si>
  <si>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</si>
  <si>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</si>
  <si>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</si>
  <si>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</si>
  <si>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</si>
  <si>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</si>
  <si>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</si>
  <si>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</si>
  <si>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</si>
  <si>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</si>
  <si>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</si>
  <si>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</si>
  <si>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</si>
  <si>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</si>
  <si>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</si>
  <si>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</si>
  <si>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</si>
  <si>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</si>
  <si>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</si>
  <si>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</si>
  <si>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</si>
  <si>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</si>
  <si>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</si>
  <si>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</si>
  <si>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</si>
  <si>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</si>
  <si>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</si>
  <si>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</si>
  <si>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</si>
  <si>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</si>
  <si>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</si>
  <si>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</si>
  <si>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</si>
  <si>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</si>
  <si>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</si>
  <si>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</si>
  <si>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</si>
  <si>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</si>
  <si>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</si>
  <si>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</si>
  <si>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</si>
  <si>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</si>
  <si>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</si>
  <si>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</si>
  <si>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</si>
  <si>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</si>
  <si>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</si>
  <si>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</si>
  <si>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</si>
  <si>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</si>
  <si>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</si>
  <si>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</si>
  <si>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</si>
  <si>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</si>
  <si>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</si>
  <si>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</si>
  <si>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</si>
  <si>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</si>
  <si>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</si>
  <si>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</si>
  <si>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</si>
  <si>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</si>
  <si>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</si>
  <si>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</si>
  <si>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</si>
  <si>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</si>
  <si>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</si>
  <si>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</si>
  <si>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</si>
  <si>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</si>
  <si>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</si>
  <si>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</si>
  <si>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</si>
  <si>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</si>
  <si>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</si>
  <si>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</si>
  <si>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</si>
  <si>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</si>
  <si>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</si>
  <si>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</si>
  <si>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</si>
  <si>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</si>
  <si>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</si>
  <si>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</si>
  <si>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</si>
  <si>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</si>
  <si>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</si>
  <si>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</si>
  <si>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</si>
  <si>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</si>
  <si>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</si>
  <si>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</si>
  <si>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</si>
  <si>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</si>
  <si>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</si>
  <si>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</si>
  <si>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</si>
  <si>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</si>
  <si>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</si>
  <si>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</si>
  <si>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</si>
  <si>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</si>
  <si>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</si>
  <si>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</si>
  <si>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</si>
  <si>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</si>
  <si>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</si>
  <si>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</si>
  <si>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</si>
  <si>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</si>
  <si>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</si>
  <si>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</si>
  <si>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</si>
  <si>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</si>
  <si>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</si>
  <si>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</si>
  <si>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</si>
  <si>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</si>
  <si>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</si>
  <si>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</si>
  <si>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</si>
  <si>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</si>
  <si>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</si>
  <si>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</si>
  <si>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</si>
  <si>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</si>
  <si>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</si>
  <si>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</si>
  <si>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</si>
  <si>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</si>
  <si>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</si>
  <si>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</si>
  <si>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</si>
  <si>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</si>
  <si>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</si>
  <si>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</si>
  <si>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</si>
  <si>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</si>
  <si>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</si>
  <si>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</si>
  <si>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</si>
  <si>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</si>
  <si>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</si>
  <si>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</si>
  <si>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</si>
  <si>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</si>
  <si>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</si>
  <si>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</si>
  <si>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</si>
  <si>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</si>
  <si>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</si>
  <si>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</si>
  <si>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</si>
  <si>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</si>
  <si>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</si>
  <si>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</si>
  <si>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</si>
  <si>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</si>
  <si>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</si>
  <si>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</si>
  <si>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</si>
  <si>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</si>
  <si>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</si>
  <si>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</si>
  <si>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</si>
  <si>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</si>
  <si>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</si>
  <si>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</si>
  <si>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</si>
  <si>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</si>
  <si>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</si>
  <si>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</si>
  <si>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</si>
  <si>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</si>
  <si>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</si>
  <si>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</si>
  <si>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</si>
  <si>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</si>
  <si>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</si>
  <si>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</si>
  <si>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</si>
  <si>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</si>
  <si>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</si>
  <si>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</si>
  <si>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</si>
  <si>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</si>
  <si>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</si>
  <si>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</si>
  <si>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</si>
  <si>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</si>
  <si>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</si>
  <si>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</si>
  <si>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</si>
  <si>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</si>
  <si>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</si>
  <si>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</si>
  <si>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</si>
  <si>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</si>
  <si>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</si>
  <si>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</si>
  <si>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</si>
  <si>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</si>
  <si>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</si>
  <si>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</si>
  <si>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</si>
  <si>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</si>
  <si>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</si>
  <si>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</si>
  <si>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</si>
  <si>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</si>
  <si>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</si>
  <si>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</si>
  <si>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</si>
  <si>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</si>
  <si>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</si>
  <si>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</si>
  <si>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</si>
  <si>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</si>
  <si>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</si>
  <si>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</si>
  <si>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</si>
  <si>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</si>
  <si>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</si>
  <si>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</si>
  <si>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</si>
  <si>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</si>
  <si>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</si>
  <si>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</si>
  <si>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</si>
  <si>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</si>
  <si>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</si>
  <si>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</si>
  <si>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</si>
  <si>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</si>
  <si>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</si>
  <si>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</si>
  <si>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</si>
  <si>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</si>
  <si>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</si>
  <si>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</si>
  <si>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</si>
  <si>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</si>
  <si>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</si>
  <si>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</si>
  <si>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</si>
  <si>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</si>
  <si>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</si>
  <si>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</si>
  <si>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</si>
  <si>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</si>
  <si>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</si>
  <si>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</si>
  <si>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</si>
  <si>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</si>
  <si>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</si>
  <si>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</si>
  <si>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</si>
  <si>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</si>
  <si>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</si>
  <si>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</si>
  <si>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</si>
  <si>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</si>
  <si>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</si>
  <si>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</si>
  <si>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</si>
  <si>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</si>
  <si>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</si>
  <si>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</si>
  <si>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</si>
  <si>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</si>
  <si>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</si>
  <si>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</si>
  <si>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</si>
  <si>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</si>
  <si>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</si>
  <si>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</si>
  <si>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</si>
  <si>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</si>
  <si>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</si>
  <si>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</si>
  <si>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</si>
  <si>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</si>
  <si>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</si>
  <si>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</si>
  <si>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</si>
  <si>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</si>
  <si>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</si>
  <si>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</si>
  <si>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</si>
  <si>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</si>
  <si>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</si>
  <si>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</si>
  <si>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</si>
  <si>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</si>
  <si>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</si>
  <si>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</si>
  <si>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</si>
  <si>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</si>
  <si>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</si>
  <si>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</si>
  <si>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</si>
  <si>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</si>
  <si>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</si>
  <si>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</si>
  <si>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</si>
  <si>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</si>
  <si>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</si>
  <si>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</si>
  <si>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</si>
  <si>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</si>
  <si>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</si>
  <si>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</si>
  <si>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</si>
  <si>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</si>
  <si>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</si>
  <si>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</si>
  <si>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</si>
  <si>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</si>
  <si>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</si>
  <si>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</si>
  <si>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</si>
  <si>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</si>
  <si>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</si>
  <si>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</si>
  <si>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</si>
  <si>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</si>
  <si>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</si>
  <si>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</si>
  <si>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</si>
  <si>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</si>
  <si>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</si>
  <si>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</si>
  <si>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</si>
  <si>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</si>
  <si>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</si>
  <si>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</si>
  <si>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</si>
  <si>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</si>
  <si>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</si>
  <si>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</si>
  <si>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</si>
  <si>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</si>
  <si>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</si>
  <si>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</si>
  <si>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</si>
  <si>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</si>
  <si>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</si>
  <si>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</si>
  <si>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</si>
  <si>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</si>
  <si>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</si>
  <si>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</si>
  <si>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</si>
  <si>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</si>
  <si>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</si>
  <si>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</si>
  <si>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</si>
  <si>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</si>
  <si>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</si>
  <si>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</si>
  <si>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</si>
  <si>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</si>
  <si>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</si>
  <si>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</si>
  <si>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</si>
  <si>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</si>
  <si>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</si>
  <si>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</si>
  <si>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</si>
  <si>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</si>
  <si>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</si>
  <si>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</si>
  <si>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</si>
  <si>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</si>
  <si>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</si>
  <si>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</si>
  <si>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</si>
  <si>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</si>
  <si>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</si>
  <si>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</si>
  <si>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</si>
  <si>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</si>
  <si>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</si>
  <si>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</si>
  <si>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</si>
  <si>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</si>
  <si>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</si>
  <si>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</si>
  <si>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</si>
  <si>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</si>
  <si>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</si>
  <si>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</si>
  <si>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</si>
  <si>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</si>
  <si>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</si>
  <si>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</si>
  <si>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</si>
  <si>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</si>
  <si>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</si>
  <si>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</si>
  <si>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</si>
  <si>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</si>
  <si>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</si>
  <si>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</si>
  <si>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</si>
  <si>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</si>
  <si>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</si>
  <si>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</si>
  <si>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</si>
  <si>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</si>
  <si>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</si>
  <si>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</si>
  <si>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</si>
  <si>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</si>
  <si>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</si>
  <si>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</si>
  <si>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</si>
  <si>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</si>
  <si>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</si>
  <si>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</si>
  <si>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</si>
  <si>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</si>
  <si>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</si>
  <si>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</si>
  <si>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</si>
  <si>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</si>
  <si>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</si>
  <si>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</si>
  <si>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</si>
  <si>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</si>
  <si>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</si>
  <si>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</si>
  <si>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</si>
  <si>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</si>
  <si>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</si>
  <si>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</si>
  <si>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</si>
  <si>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</si>
  <si>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</si>
  <si>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</si>
  <si>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</si>
  <si>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</si>
  <si>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</si>
  <si>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</si>
  <si>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</si>
  <si>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</si>
  <si>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</si>
  <si>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</si>
  <si>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</si>
  <si>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</si>
  <si>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</si>
  <si>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</si>
  <si>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</si>
  <si>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</si>
  <si>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</si>
  <si>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</si>
  <si>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</si>
  <si>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</si>
  <si>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</si>
  <si>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</si>
  <si>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</si>
  <si>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</si>
  <si>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</si>
  <si>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</si>
  <si>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</si>
  <si>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</si>
  <si>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</si>
  <si>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</si>
  <si>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</si>
  <si>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</si>
  <si>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</si>
  <si>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</si>
  <si>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</si>
  <si>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</si>
  <si>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</si>
  <si>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</si>
  <si>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</si>
  <si>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</si>
  <si>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</si>
  <si>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</si>
  <si>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</si>
  <si>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</si>
  <si>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</si>
  <si>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</si>
  <si>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</si>
  <si>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</si>
  <si>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</si>
  <si>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</si>
  <si>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</si>
  <si>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</si>
  <si>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</si>
  <si>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</si>
  <si>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</si>
  <si>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</si>
  <si>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</si>
  <si>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</si>
  <si>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</si>
  <si>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</si>
  <si>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</si>
  <si>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</si>
  <si>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</si>
  <si>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</si>
  <si>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</si>
  <si>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</si>
  <si>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</si>
  <si>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</si>
  <si>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</si>
  <si>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</si>
  <si>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</si>
  <si>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</si>
  <si>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</si>
  <si>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</si>
  <si>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</si>
  <si>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</si>
  <si>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</si>
  <si>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</si>
  <si>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</si>
  <si>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</si>
  <si>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</si>
  <si>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</si>
  <si>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</si>
  <si>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</si>
  <si>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</si>
  <si>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</si>
  <si>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</si>
  <si>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</si>
  <si>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</si>
  <si>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</si>
  <si>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</si>
  <si>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</si>
  <si>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</si>
  <si>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</si>
  <si>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</si>
  <si>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</si>
  <si>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</si>
  <si>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</si>
  <si>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</si>
  <si>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</si>
  <si>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</si>
  <si>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</si>
  <si>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</si>
  <si>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</si>
  <si>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</si>
  <si>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</si>
  <si>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</si>
  <si>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</si>
  <si>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</si>
  <si>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</si>
  <si>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</si>
  <si>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</si>
  <si>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</si>
  <si>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</si>
  <si>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</si>
  <si>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</si>
  <si>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</si>
  <si>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</si>
  <si>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</si>
  <si>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</si>
  <si>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</si>
  <si>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</si>
  <si>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</si>
  <si>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</si>
  <si>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</si>
  <si>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</si>
  <si>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</si>
  <si>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</si>
  <si>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</si>
  <si>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</si>
  <si>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</si>
  <si>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</si>
  <si>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</si>
  <si>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</si>
  <si>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</si>
  <si>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</si>
  <si>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</si>
  <si>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</si>
  <si>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</si>
  <si>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</si>
  <si>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</si>
  <si>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</si>
  <si>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</si>
  <si>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</si>
  <si>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</si>
  <si>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</si>
  <si>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</si>
  <si>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</si>
  <si>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</si>
  <si>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</si>
  <si>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</si>
  <si>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</si>
  <si>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</si>
  <si>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</si>
  <si>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</si>
  <si>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</si>
  <si>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</si>
  <si>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</si>
  <si>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</si>
  <si>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</si>
  <si>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</si>
  <si>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</si>
  <si>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</si>
  <si>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</si>
  <si>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</si>
  <si>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</si>
  <si>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</si>
  <si>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</si>
  <si>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</si>
  <si>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</si>
  <si>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</si>
  <si>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</si>
  <si>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</si>
  <si>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</si>
  <si>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</si>
  <si>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</si>
  <si>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</si>
  <si>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</si>
  <si>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</si>
  <si>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</si>
  <si>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</si>
  <si>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</si>
  <si>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</si>
  <si>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</si>
  <si>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</si>
  <si>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</si>
  <si>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</si>
  <si>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</si>
  <si>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</si>
  <si>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</si>
  <si>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</si>
  <si>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</si>
  <si>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</si>
  <si>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</si>
  <si>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</si>
  <si>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</si>
  <si>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</si>
  <si>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</si>
  <si>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</si>
  <si>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</si>
  <si>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</si>
  <si>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</si>
  <si>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</si>
  <si>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</si>
  <si>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</si>
  <si>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</si>
  <si>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</si>
  <si>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</si>
  <si>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</si>
  <si>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</si>
  <si>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</si>
  <si>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</si>
  <si>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</si>
  <si>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</si>
  <si>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</si>
  <si>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</si>
  <si>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</si>
  <si>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</si>
  <si>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</si>
  <si>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</si>
  <si>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</si>
  <si>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</si>
  <si>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</si>
  <si>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</si>
  <si>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</si>
  <si>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</si>
  <si>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</si>
  <si>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</si>
  <si>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</si>
  <si>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</si>
  <si>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</si>
  <si>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</si>
  <si>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</si>
  <si>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</si>
  <si>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</si>
  <si>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</si>
  <si>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</si>
  <si>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</si>
  <si>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</si>
  <si>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</si>
  <si>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</si>
  <si>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</si>
  <si>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</si>
  <si>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</si>
  <si>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</si>
  <si>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</si>
  <si>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</si>
  <si>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</si>
  <si>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</si>
  <si>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</si>
  <si>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</si>
  <si>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</si>
  <si>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</si>
  <si>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</si>
  <si>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</si>
  <si>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</si>
  <si>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</si>
  <si>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</si>
  <si>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</si>
  <si>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</si>
  <si>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</si>
  <si>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</si>
  <si>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</si>
  <si>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</si>
  <si>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</si>
  <si>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</si>
  <si>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</si>
  <si>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</si>
  <si>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</si>
  <si>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</si>
  <si>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</si>
  <si>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</si>
  <si>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</si>
  <si>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</si>
  <si>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</si>
  <si>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</si>
  <si>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</si>
  <si>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</si>
  <si>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</si>
  <si>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</si>
  <si>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</si>
  <si>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</si>
  <si>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</si>
  <si>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</si>
  <si>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</si>
  <si>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</si>
  <si>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</si>
  <si>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</si>
  <si>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</si>
  <si>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</si>
  <si>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</si>
  <si>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</si>
  <si>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</si>
  <si>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</si>
  <si>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</si>
  <si>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</si>
  <si>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</si>
  <si>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</si>
  <si>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</si>
  <si>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</si>
  <si>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</si>
  <si>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</si>
  <si>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</si>
  <si>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</si>
  <si>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</si>
  <si>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</si>
  <si>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</si>
  <si>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</si>
  <si>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</si>
  <si>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</si>
  <si>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</si>
  <si>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</si>
  <si>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</si>
  <si>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</si>
  <si>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</si>
  <si>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</si>
  <si>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</si>
  <si>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</si>
  <si>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</si>
  <si>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</si>
  <si>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</si>
  <si>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</si>
  <si>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</si>
  <si>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</si>
  <si>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</si>
  <si>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</si>
  <si>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</si>
  <si>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</si>
  <si>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</si>
  <si>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</si>
  <si>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</si>
  <si>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</si>
  <si>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</si>
  <si>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</si>
  <si>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</si>
  <si>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</si>
  <si>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</si>
  <si>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</si>
  <si>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</si>
  <si>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</si>
  <si>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</si>
  <si>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</si>
  <si>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</si>
  <si>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</si>
  <si>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</si>
  <si>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</si>
  <si>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</si>
  <si>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</si>
  <si>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</si>
  <si>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</si>
  <si>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</si>
  <si>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</si>
  <si>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</si>
  <si>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</si>
  <si>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</si>
  <si>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</si>
  <si>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</si>
  <si>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</si>
  <si>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</si>
  <si>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</si>
  <si>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</si>
  <si>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</si>
  <si>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</si>
  <si>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</si>
  <si>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</si>
  <si>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</si>
  <si>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</si>
  <si>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</si>
  <si>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</si>
  <si>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</si>
  <si>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</si>
  <si>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</si>
  <si>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</si>
  <si>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</si>
  <si>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</si>
  <si>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</si>
  <si>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</si>
  <si>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</si>
  <si>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</si>
  <si>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</si>
  <si>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</si>
  <si>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</si>
  <si>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</si>
  <si>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</si>
  <si>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</si>
  <si>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</si>
  <si>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</si>
  <si>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</si>
  <si>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</si>
  <si>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</si>
  <si>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</si>
  <si>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</si>
  <si>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</si>
  <si>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</si>
  <si>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</si>
  <si>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</si>
  <si>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</si>
  <si>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</si>
  <si>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</si>
  <si>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</si>
  <si>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</si>
  <si>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</si>
  <si>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</si>
  <si>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</si>
  <si>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</si>
  <si>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</si>
  <si>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</si>
  <si>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</si>
  <si>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</si>
  <si>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</si>
  <si>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</si>
  <si>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</si>
  <si>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</si>
  <si>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</si>
  <si>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</si>
  <si>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</si>
  <si>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</si>
  <si>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</si>
  <si>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</si>
  <si>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</si>
  <si>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</si>
  <si>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</si>
  <si>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</si>
  <si>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</si>
  <si>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</si>
  <si>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</si>
  <si>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</si>
  <si>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</si>
  <si>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</si>
  <si>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</si>
  <si>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</si>
  <si>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</si>
  <si>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</si>
  <si>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</si>
  <si>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</si>
  <si>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</si>
  <si>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</si>
  <si>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</si>
  <si>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</si>
  <si>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</si>
  <si>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</si>
  <si>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</si>
  <si>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</si>
  <si>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</si>
  <si>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</si>
  <si>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</si>
  <si>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</si>
  <si>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</si>
  <si>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</si>
  <si>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</si>
  <si>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</si>
  <si>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</si>
  <si>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</si>
  <si>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</si>
  <si>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</si>
  <si>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</si>
  <si>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</si>
  <si>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</si>
  <si>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</si>
  <si>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</si>
  <si>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</si>
  <si>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</si>
  <si>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</si>
  <si>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</si>
  <si>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</si>
  <si>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</si>
  <si>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</si>
  <si>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</si>
  <si>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</si>
  <si>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</si>
  <si>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</si>
  <si>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</si>
  <si>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</si>
  <si>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</si>
  <si>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</si>
  <si>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</si>
  <si>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</si>
  <si>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</si>
  <si>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</si>
  <si>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</si>
  <si>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</si>
  <si>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</si>
  <si>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</si>
  <si>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</si>
  <si>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</si>
  <si>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</si>
  <si>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</si>
  <si>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</si>
  <si>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</si>
  <si>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</si>
  <si>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</si>
  <si>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</si>
  <si>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</si>
  <si>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</si>
  <si>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</si>
  <si>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</si>
  <si>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</si>
  <si>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</si>
  <si>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</si>
  <si>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</si>
  <si>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</si>
  <si>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</si>
  <si>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</si>
  <si>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</si>
  <si>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</si>
  <si>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</si>
  <si>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</si>
  <si>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</si>
  <si>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</si>
  <si>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</si>
  <si>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</si>
  <si>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</si>
  <si>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</si>
  <si>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</si>
  <si>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</si>
  <si>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</si>
  <si>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</si>
  <si>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</si>
  <si>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</si>
  <si>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</si>
  <si>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</si>
  <si>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</si>
  <si>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</si>
  <si>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</si>
  <si>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</si>
  <si>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</si>
  <si>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</si>
  <si>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</si>
  <si>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</si>
  <si>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</si>
  <si>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</si>
  <si>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</si>
  <si>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</si>
  <si>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</si>
  <si>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</si>
  <si>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</si>
  <si>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</si>
  <si>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</si>
  <si>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</si>
  <si>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</si>
  <si>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</si>
  <si>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</si>
  <si>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</si>
  <si>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</si>
  <si>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</si>
  <si>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</si>
  <si>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</si>
  <si>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</si>
  <si>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</si>
  <si>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</si>
  <si>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</si>
  <si>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</si>
  <si>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</si>
  <si>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</si>
  <si>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</si>
  <si>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</si>
  <si>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</si>
  <si>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</si>
  <si>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</si>
  <si>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</si>
  <si>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</si>
  <si>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</si>
  <si>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</si>
  <si>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</si>
  <si>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</si>
  <si>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</si>
  <si>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</si>
  <si>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</si>
  <si>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</si>
  <si>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</si>
  <si>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</si>
  <si>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</si>
  <si>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</si>
  <si>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</si>
  <si>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</si>
  <si>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</si>
  <si>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</si>
  <si>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</si>
  <si>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</si>
  <si>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</si>
  <si>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</si>
  <si>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</si>
  <si>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</si>
  <si>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</si>
  <si>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</si>
  <si>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</si>
  <si>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</si>
  <si>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</si>
  <si>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</si>
  <si>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</si>
  <si>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</si>
  <si>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</si>
  <si>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</si>
  <si>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</si>
  <si>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</si>
  <si>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</si>
  <si>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</si>
  <si>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</si>
  <si>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</si>
  <si>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</si>
  <si>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</si>
  <si>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</si>
  <si>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</si>
  <si>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</si>
  <si>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</si>
  <si>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</si>
  <si>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</si>
  <si>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</si>
  <si>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</si>
  <si>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</si>
  <si>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</si>
  <si>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</si>
  <si>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</si>
  <si>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</si>
  <si>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</si>
  <si>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</si>
  <si>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</si>
  <si>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</si>
  <si>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</si>
  <si>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</si>
  <si>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</si>
  <si>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</si>
  <si>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</si>
  <si>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</si>
  <si>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</si>
  <si>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</si>
  <si>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</si>
  <si>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</si>
  <si>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</si>
  <si>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</si>
  <si>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</si>
  <si>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</si>
  <si>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</si>
  <si>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</si>
  <si>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</si>
  <si>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</si>
  <si>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</si>
  <si>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</si>
  <si>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</si>
  <si>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</si>
  <si>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</si>
  <si>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</si>
  <si>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</si>
  <si>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</si>
  <si>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</si>
  <si>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</si>
  <si>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</si>
  <si>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</si>
  <si>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</si>
  <si>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</si>
  <si>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</si>
  <si>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</si>
  <si>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</si>
  <si>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</si>
  <si>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</si>
  <si>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</si>
  <si>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</si>
  <si>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</si>
  <si>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</si>
  <si>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</si>
  <si>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</si>
  <si>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</si>
  <si>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</si>
  <si>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</si>
  <si>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</si>
  <si>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</si>
  <si>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</si>
  <si>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</si>
  <si>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</si>
  <si>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</si>
  <si>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</si>
  <si>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</si>
  <si>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</si>
  <si>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</si>
  <si>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</si>
  <si>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</si>
  <si>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</si>
  <si>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</si>
  <si>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</si>
  <si>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</si>
  <si>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</si>
  <si>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</si>
  <si>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</si>
  <si>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</si>
  <si>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</si>
  <si>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</si>
  <si>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</si>
  <si>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</si>
  <si>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</si>
  <si>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</si>
  <si>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</si>
  <si>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</si>
  <si>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</si>
  <si>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</si>
  <si>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</si>
  <si>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</si>
  <si>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</si>
  <si>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</si>
  <si>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</si>
  <si>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</si>
  <si>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</si>
  <si>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</si>
  <si>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</si>
  <si>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</si>
  <si>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</si>
  <si>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</si>
  <si>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</si>
  <si>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</si>
  <si>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</si>
  <si>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</si>
  <si>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</si>
  <si>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</si>
  <si>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</si>
  <si>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</si>
  <si>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</si>
  <si>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</si>
  <si>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</si>
  <si>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</si>
  <si>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</si>
  <si>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</si>
  <si>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</si>
  <si>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</si>
  <si>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</si>
  <si>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</si>
  <si>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</si>
  <si>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</si>
  <si>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</si>
  <si>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</si>
  <si>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</si>
  <si>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</si>
  <si>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</si>
  <si>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</si>
  <si>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</si>
  <si>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</si>
  <si>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</si>
  <si>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</si>
  <si>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</si>
  <si>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</si>
  <si>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</si>
  <si>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</si>
  <si>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</si>
  <si>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</si>
  <si>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</si>
  <si>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</si>
  <si>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</si>
  <si>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</si>
  <si>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</si>
  <si>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</si>
  <si>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</si>
  <si>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</si>
  <si>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</si>
  <si>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</si>
  <si>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</si>
  <si>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</si>
  <si>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</si>
  <si>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</si>
  <si>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</si>
  <si>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</si>
  <si>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</si>
  <si>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</si>
  <si>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</si>
  <si>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</si>
  <si>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</si>
  <si>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</si>
  <si>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</si>
  <si>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</si>
  <si>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</si>
  <si>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</si>
  <si>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</si>
  <si>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</si>
  <si>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</si>
  <si>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</si>
  <si>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</si>
  <si>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</si>
  <si>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</si>
  <si>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</si>
  <si>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</si>
  <si>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</si>
  <si>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</si>
  <si>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</si>
  <si>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</si>
  <si>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</si>
  <si>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</si>
  <si>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</si>
  <si>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</si>
  <si>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</si>
  <si>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</si>
  <si>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</si>
  <si>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</si>
  <si>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</si>
  <si>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</si>
  <si>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</si>
  <si>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</si>
  <si>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</si>
  <si>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</si>
  <si>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</si>
  <si>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</si>
  <si>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</si>
  <si>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</si>
  <si>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</si>
  <si>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</si>
  <si>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</si>
  <si>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</si>
  <si>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</si>
  <si>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</si>
  <si>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</si>
  <si>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</si>
  <si>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</si>
  <si>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</si>
  <si>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</si>
  <si>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</si>
  <si>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</si>
  <si>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</si>
  <si>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</si>
  <si>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</si>
  <si>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</si>
  <si>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</si>
  <si>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</si>
  <si>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</si>
  <si>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</si>
  <si>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</si>
  <si>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</si>
  <si>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</si>
  <si>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</si>
  <si>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</si>
  <si>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</si>
  <si>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</si>
  <si>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</si>
  <si>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</si>
  <si>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</si>
  <si>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</si>
  <si>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</si>
  <si>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</si>
  <si>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</si>
  <si>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</si>
  <si>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</si>
  <si>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</si>
  <si>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</si>
  <si>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</si>
  <si>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</si>
  <si>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</si>
  <si>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</si>
  <si>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</si>
  <si>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</si>
  <si>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</si>
  <si>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</si>
  <si>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</si>
  <si>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</si>
  <si>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</si>
  <si>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</si>
  <si>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</si>
  <si>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</si>
  <si>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</si>
  <si>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</si>
  <si>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</si>
  <si>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</si>
  <si>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</si>
  <si>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</si>
  <si>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</si>
  <si>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</si>
  <si>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</si>
  <si>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</si>
  <si>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</si>
  <si>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</si>
  <si>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</si>
  <si>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</si>
  <si>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</si>
  <si>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</si>
  <si>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</si>
  <si>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</si>
  <si>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</si>
  <si>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</si>
  <si>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</si>
  <si>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</si>
  <si>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</si>
  <si>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</si>
  <si>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</si>
  <si>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</si>
  <si>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</si>
  <si>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</si>
  <si>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</si>
  <si>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</si>
  <si>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</si>
  <si>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</si>
  <si>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</si>
  <si>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</si>
  <si>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</si>
  <si>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</si>
  <si>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</si>
  <si>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</si>
  <si>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</si>
  <si>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</si>
  <si>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</si>
  <si>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</si>
  <si>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</si>
  <si>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</si>
  <si>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</si>
  <si>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</si>
  <si>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</si>
  <si>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</si>
  <si>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</si>
  <si>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</si>
  <si>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</si>
  <si>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</si>
  <si>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</si>
  <si>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</si>
  <si>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</si>
  <si>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</si>
  <si>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</si>
  <si>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</si>
  <si>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</si>
  <si>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</si>
  <si>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</si>
  <si>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</si>
  <si>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</si>
  <si>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</si>
  <si>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</si>
  <si>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</si>
  <si>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</si>
  <si>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</si>
  <si>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</si>
  <si>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</si>
  <si>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</si>
  <si>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</si>
  <si>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</si>
  <si>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</si>
  <si>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</si>
  <si>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</si>
  <si>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</si>
  <si>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</si>
  <si>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</si>
  <si>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</si>
  <si>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</si>
  <si>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</si>
  <si>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</si>
  <si>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</si>
  <si>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</si>
  <si>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</si>
  <si>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</si>
  <si>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</si>
  <si>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</si>
  <si>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</si>
  <si>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</si>
  <si>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</si>
  <si>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</si>
  <si>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</si>
  <si>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</si>
  <si>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</si>
  <si>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</si>
  <si>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</si>
  <si>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</si>
  <si>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</si>
  <si>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</si>
  <si>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</si>
  <si>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</si>
  <si>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</si>
  <si>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</si>
  <si>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</si>
  <si>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</si>
  <si>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</si>
  <si>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</si>
  <si>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</si>
  <si>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</si>
  <si>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</si>
  <si>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</si>
  <si>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</si>
  <si>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</si>
  <si>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</si>
  <si>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</si>
  <si>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</si>
  <si>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</si>
  <si>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</si>
  <si>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</si>
  <si>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</si>
  <si>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</si>
  <si>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</si>
  <si>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</si>
  <si>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</si>
  <si>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</si>
  <si>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</si>
  <si>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</si>
  <si>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</si>
  <si>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</si>
  <si>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</si>
  <si>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</si>
  <si>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</si>
  <si>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</si>
  <si>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</si>
  <si>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</si>
  <si>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</si>
  <si>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</si>
  <si>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</si>
  <si>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</si>
  <si>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</si>
  <si>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</si>
  <si>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</si>
  <si>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</si>
  <si>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</si>
  <si>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</si>
  <si>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</si>
  <si>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</si>
  <si>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</si>
  <si>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</si>
  <si>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</si>
  <si>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</si>
  <si>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</si>
  <si>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</si>
  <si>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</si>
  <si>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</si>
  <si>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</si>
  <si>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</si>
  <si>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</si>
  <si>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</si>
  <si>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</si>
  <si>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</si>
  <si>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</si>
  <si>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</si>
  <si>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</si>
  <si>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</si>
  <si>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</si>
  <si>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</si>
  <si>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</si>
  <si>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</si>
  <si>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</si>
  <si>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</si>
  <si>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</si>
  <si>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</si>
  <si>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</si>
  <si>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</si>
  <si>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</si>
  <si>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</si>
  <si>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</si>
  <si>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</si>
  <si>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</si>
  <si>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</si>
  <si>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</si>
  <si>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</si>
  <si>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</si>
  <si>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</si>
  <si>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</si>
  <si>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</si>
  <si>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</si>
  <si>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</si>
  <si>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</si>
  <si>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</si>
  <si>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</si>
  <si>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</si>
  <si>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</si>
  <si>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</si>
  <si>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</si>
  <si>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</si>
  <si>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</si>
  <si>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</si>
  <si>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</si>
  <si>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</si>
  <si>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</si>
  <si>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</si>
  <si>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</si>
  <si>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</si>
  <si>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</si>
  <si>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</si>
  <si>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</si>
  <si>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</si>
  <si>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</si>
  <si>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</si>
  <si>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</si>
  <si>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</si>
  <si>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</si>
  <si>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</si>
  <si>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</si>
  <si>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</si>
  <si>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</si>
  <si>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</si>
  <si>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</si>
  <si>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</si>
  <si>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</si>
  <si>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</si>
  <si>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</si>
  <si>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</si>
  <si>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</si>
  <si>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</si>
  <si>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</si>
  <si>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</si>
  <si>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</si>
  <si>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</si>
  <si>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</si>
  <si>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</si>
  <si>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</si>
  <si>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</si>
  <si>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</si>
  <si>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</si>
  <si>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</si>
  <si>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</si>
  <si>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</si>
  <si>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</si>
  <si>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</si>
  <si>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</si>
  <si>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</si>
  <si>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</si>
  <si>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</si>
  <si>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</si>
  <si>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</si>
  <si>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</si>
  <si>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</si>
  <si>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</si>
  <si>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</si>
  <si>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</si>
  <si>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</si>
  <si>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</si>
  <si>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</si>
  <si>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</si>
  <si>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</si>
  <si>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</si>
  <si>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</si>
  <si>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</si>
  <si>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</si>
  <si>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</si>
  <si>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</si>
  <si>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</si>
  <si>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</si>
  <si>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</si>
  <si>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</si>
  <si>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</si>
  <si>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</si>
  <si>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</si>
  <si>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</si>
  <si>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</si>
  <si>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</si>
  <si>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</si>
  <si>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</si>
  <si>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</si>
  <si>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</si>
  <si>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</si>
  <si>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</si>
  <si>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</si>
  <si>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</si>
  <si>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</si>
  <si>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</si>
  <si>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</si>
  <si>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</si>
  <si>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</si>
  <si>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</si>
  <si>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</si>
  <si>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</si>
  <si>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</si>
  <si>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</si>
  <si>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</si>
  <si>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</si>
  <si>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</si>
  <si>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</si>
  <si>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</si>
  <si>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</si>
  <si>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</si>
  <si>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</si>
  <si>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</si>
  <si>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</si>
  <si>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</si>
  <si>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</si>
  <si>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</si>
  <si>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</si>
  <si>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</si>
  <si>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</si>
  <si>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</si>
  <si>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</si>
  <si>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</si>
  <si>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</si>
  <si>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</si>
  <si>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</si>
  <si>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</si>
  <si>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</si>
  <si>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</si>
  <si>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</si>
  <si>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</si>
  <si>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</si>
  <si>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</si>
  <si>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</si>
  <si>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</si>
  <si>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</si>
  <si>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</si>
  <si>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</si>
  <si>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</si>
  <si>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</si>
  <si>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</si>
  <si>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</si>
  <si>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</si>
  <si>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</si>
  <si>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</si>
  <si>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</si>
  <si>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</si>
  <si>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</si>
  <si>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</si>
  <si>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</si>
  <si>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</si>
  <si>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</si>
  <si>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</si>
  <si>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</si>
  <si>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</si>
  <si>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</si>
  <si>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</si>
  <si>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</si>
  <si>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</si>
  <si>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</si>
  <si>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</si>
  <si>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</si>
  <si>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</si>
  <si>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</si>
  <si>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</si>
  <si>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</si>
  <si>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</si>
  <si>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</si>
  <si>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</si>
  <si>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</si>
  <si>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</si>
  <si>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</si>
  <si>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</si>
  <si>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</si>
  <si>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</si>
  <si>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</si>
  <si>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</si>
  <si>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</si>
  <si>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</si>
  <si>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</si>
  <si>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</si>
  <si>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</si>
  <si>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</si>
  <si>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</si>
  <si>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</si>
  <si>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</si>
  <si>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</si>
  <si>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</si>
  <si>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</si>
  <si>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</si>
  <si>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</si>
  <si>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</si>
  <si>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</si>
  <si>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</si>
  <si>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</si>
  <si>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</si>
  <si>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</si>
  <si>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</si>
  <si>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</si>
  <si>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</si>
  <si>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</si>
  <si>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</si>
  <si>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</si>
  <si>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</si>
  <si>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</si>
  <si>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</si>
  <si>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</si>
  <si>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</si>
  <si>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</si>
  <si>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</si>
  <si>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</si>
  <si>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</si>
  <si>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</si>
  <si>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</si>
  <si>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</si>
  <si>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</si>
  <si>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</si>
  <si>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</si>
  <si>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</si>
  <si>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</si>
  <si>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</si>
  <si>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</si>
  <si>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</si>
  <si>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</si>
  <si>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</si>
  <si>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</si>
  <si>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</si>
  <si>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</si>
  <si>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</si>
  <si>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</si>
  <si>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</si>
  <si>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</si>
  <si>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</si>
  <si>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</si>
  <si>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</si>
  <si>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</si>
  <si>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</si>
  <si>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</si>
  <si>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</si>
  <si>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</si>
  <si>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</si>
  <si>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</si>
  <si>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</si>
  <si>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</si>
  <si>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</si>
  <si>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</si>
  <si>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</si>
  <si>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</si>
  <si>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</si>
  <si>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</si>
  <si>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</si>
  <si>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</si>
  <si>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</si>
  <si>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</si>
  <si>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</si>
  <si>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</si>
  <si>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</si>
  <si>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</si>
  <si>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</si>
  <si>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</si>
  <si>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</si>
  <si>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</si>
  <si>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</si>
  <si>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</si>
  <si>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</si>
  <si>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</si>
  <si>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</si>
  <si>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</si>
  <si>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</si>
  <si>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</si>
  <si>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</si>
  <si>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</si>
  <si>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</si>
  <si>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</si>
  <si>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</si>
  <si>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</si>
  <si>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</si>
  <si>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</si>
  <si>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</si>
  <si>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</si>
  <si>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</si>
  <si>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</si>
  <si>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</si>
  <si>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</si>
  <si>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</si>
  <si>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</si>
  <si>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</si>
  <si>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</si>
  <si>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</si>
  <si>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</si>
  <si>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</si>
  <si>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</si>
  <si>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</si>
  <si>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</si>
  <si>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</si>
  <si>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</si>
  <si>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</si>
  <si>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</si>
  <si>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</si>
  <si>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</si>
  <si>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</si>
  <si>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</si>
  <si>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</si>
  <si>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</si>
  <si>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</si>
  <si>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</si>
  <si>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</si>
  <si>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</si>
  <si>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</si>
  <si>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</si>
  <si>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</si>
  <si>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</si>
  <si>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</si>
  <si>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</si>
  <si>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</si>
  <si>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</si>
  <si>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</si>
  <si>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</si>
  <si>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</si>
  <si>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</si>
  <si>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</si>
  <si>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</si>
  <si>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</si>
  <si>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</si>
  <si>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</si>
  <si>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</si>
  <si>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</si>
  <si>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</si>
  <si>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</si>
  <si>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</si>
  <si>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</si>
  <si>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</si>
  <si>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</si>
  <si>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</si>
  <si>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</si>
  <si>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</si>
  <si>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</si>
  <si>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</si>
  <si>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</si>
  <si>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</si>
  <si>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</si>
  <si>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</si>
  <si>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</si>
  <si>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</si>
  <si>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</si>
  <si>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</si>
  <si>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</si>
  <si>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</si>
  <si>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</si>
  <si>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</si>
  <si>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</si>
  <si>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</si>
  <si>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</si>
  <si>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</si>
  <si>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</si>
  <si>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</si>
  <si>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</si>
  <si>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</si>
  <si>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</si>
  <si>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</si>
  <si>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</si>
  <si>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</si>
  <si>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</si>
  <si>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</si>
  <si>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</si>
  <si>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</si>
  <si>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</si>
  <si>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</si>
  <si>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</si>
  <si>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</si>
  <si>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</si>
  <si>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</si>
  <si>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</si>
  <si>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</si>
  <si>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</si>
  <si>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</si>
  <si>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</si>
  <si>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</si>
  <si>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</si>
  <si>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</si>
  <si>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</si>
  <si>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</si>
  <si>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</si>
  <si>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</si>
  <si>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</si>
  <si>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</si>
  <si>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</si>
  <si>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</si>
  <si>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</si>
  <si>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</si>
  <si>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</si>
  <si>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</si>
  <si>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</si>
  <si>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</si>
  <si>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</si>
  <si>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</si>
  <si>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</si>
  <si>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</si>
  <si>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</si>
  <si>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</si>
  <si>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</si>
  <si>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</si>
  <si>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</si>
  <si>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</si>
  <si>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</si>
  <si>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</si>
  <si>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</si>
  <si>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</si>
  <si>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</si>
  <si>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</si>
  <si>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</si>
  <si>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</si>
  <si>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</si>
  <si>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</si>
  <si>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</si>
  <si>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</si>
  <si>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</si>
  <si>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</si>
  <si>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</si>
  <si>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</si>
  <si>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</si>
  <si>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</si>
  <si>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</si>
  <si>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</si>
  <si>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</si>
  <si>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</si>
  <si>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</si>
  <si>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</si>
  <si>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</si>
  <si>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</si>
  <si>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</si>
  <si>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</si>
  <si>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</si>
  <si>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</si>
  <si>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</si>
  <si>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</si>
  <si>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</si>
  <si>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</si>
  <si>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</si>
  <si>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</si>
  <si>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</si>
  <si>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</si>
  <si>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</si>
  <si>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</si>
  <si>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</si>
  <si>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</si>
  <si>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</si>
  <si>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</si>
  <si>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</si>
  <si>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</si>
  <si>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</si>
  <si>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</si>
  <si>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</si>
  <si>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</si>
  <si>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</si>
  <si>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</si>
  <si>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</si>
  <si>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</si>
  <si>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</si>
  <si>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</si>
  <si>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</si>
  <si>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</si>
  <si>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</si>
  <si>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</si>
  <si>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</si>
  <si>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</si>
  <si>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</si>
  <si>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</si>
  <si>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</si>
  <si>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</si>
  <si>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</si>
  <si>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</si>
  <si>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</si>
  <si>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</si>
  <si>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</si>
  <si>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</si>
  <si>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</si>
  <si>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</si>
  <si>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</si>
  <si>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</si>
  <si>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</si>
  <si>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</si>
  <si>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</si>
  <si>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</si>
  <si>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</si>
  <si>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</si>
  <si>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</si>
  <si>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</si>
  <si>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</si>
  <si>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</si>
  <si>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</si>
  <si>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</si>
  <si>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</si>
  <si>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</si>
  <si>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</si>
  <si>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</si>
  <si>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</si>
  <si>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</si>
  <si>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</si>
  <si>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</si>
  <si>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</si>
  <si>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</si>
  <si>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</si>
  <si>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</si>
  <si>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</si>
  <si>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</si>
  <si>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</si>
  <si>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</si>
  <si>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</si>
  <si>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</si>
  <si>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</si>
  <si>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</si>
  <si>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</si>
  <si>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</si>
  <si>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</si>
  <si>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</si>
  <si>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</si>
  <si>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</si>
  <si>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</si>
  <si>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</si>
  <si>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</si>
  <si>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</si>
  <si>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</si>
  <si>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</si>
  <si>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</si>
  <si>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</si>
  <si>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</si>
  <si>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</si>
  <si>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</si>
  <si>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</si>
  <si>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</si>
  <si>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</si>
  <si>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</si>
  <si>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</si>
  <si>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</si>
  <si>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</si>
  <si>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</si>
  <si>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</si>
  <si>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</si>
  <si>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</si>
  <si>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</si>
  <si>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</si>
  <si>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</si>
  <si>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</si>
  <si>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</si>
  <si>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</si>
  <si>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</si>
  <si>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</si>
  <si>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</si>
  <si>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</si>
  <si>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</si>
  <si>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</si>
  <si>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</si>
  <si>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</si>
  <si>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</si>
  <si>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</si>
  <si>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</si>
  <si>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</si>
  <si>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</si>
  <si>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</si>
  <si>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</si>
  <si>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</si>
  <si>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</si>
  <si>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</si>
  <si>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</si>
  <si>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</si>
  <si>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</si>
  <si>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</si>
  <si>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</si>
  <si>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</si>
  <si>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</si>
  <si>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</si>
  <si>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</si>
  <si>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</si>
  <si>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</si>
  <si>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</si>
  <si>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</si>
  <si>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</si>
  <si>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</si>
  <si>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</si>
  <si>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</si>
  <si>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</si>
  <si>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</si>
  <si>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</si>
  <si>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</si>
  <si>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</si>
  <si>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</si>
  <si>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</si>
  <si>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</si>
  <si>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</si>
  <si>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</si>
  <si>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</si>
  <si>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</si>
  <si>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</si>
  <si>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</si>
  <si>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</si>
  <si>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</si>
  <si>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</si>
  <si>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</si>
  <si>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</si>
  <si>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</si>
  <si>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</si>
  <si>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</si>
  <si>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</si>
  <si>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</si>
  <si>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</si>
  <si>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</si>
  <si>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</si>
  <si>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</si>
  <si>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</si>
  <si>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</si>
  <si>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</si>
  <si>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</si>
  <si>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</si>
  <si>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</si>
  <si>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</si>
  <si>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</si>
  <si>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</si>
  <si>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</si>
  <si>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</si>
  <si>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</si>
  <si>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</si>
  <si>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</si>
  <si>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</si>
  <si>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</si>
  <si>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</si>
  <si>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</si>
  <si>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</si>
  <si>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</si>
  <si>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</si>
  <si>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</si>
  <si>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</si>
  <si>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</si>
  <si>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</si>
  <si>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</si>
  <si>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</si>
  <si>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</si>
  <si>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</si>
  <si>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</si>
  <si>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</si>
  <si>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</si>
  <si>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</si>
  <si>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</si>
  <si>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</si>
  <si>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</si>
  <si>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</si>
  <si>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</si>
  <si>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</si>
  <si>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</si>
  <si>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</si>
  <si>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</si>
  <si>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</si>
  <si>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</si>
  <si>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</si>
  <si>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</si>
  <si>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</si>
  <si>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</si>
  <si>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</si>
  <si>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</si>
  <si>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</si>
  <si>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</si>
  <si>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</si>
  <si>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</si>
  <si>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</si>
  <si>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</si>
  <si>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</si>
  <si>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</si>
  <si>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</si>
  <si>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</si>
  <si>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</si>
  <si>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</si>
  <si>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</si>
  <si>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</si>
  <si>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</si>
  <si>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</si>
  <si>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</si>
  <si>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</si>
  <si>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</si>
  <si>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</si>
  <si>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</si>
  <si>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</si>
  <si>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</si>
  <si>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</si>
  <si>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</si>
  <si>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</si>
  <si>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</si>
  <si>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</si>
  <si>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</si>
  <si>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</si>
  <si>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</si>
  <si>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</si>
  <si>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</si>
  <si>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</si>
  <si>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</si>
  <si>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</si>
  <si>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</si>
  <si>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</si>
  <si>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</si>
  <si>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</si>
  <si>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</si>
  <si>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</si>
  <si>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</si>
  <si>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</si>
  <si>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</si>
  <si>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</si>
  <si>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</si>
  <si>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</si>
  <si>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</si>
  <si>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</si>
  <si>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</si>
  <si>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</si>
  <si>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</si>
  <si>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</si>
  <si>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</si>
  <si>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</si>
  <si>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</si>
  <si>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</si>
  <si>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</si>
  <si>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</si>
  <si>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</si>
  <si>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</si>
  <si>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</si>
  <si>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</si>
  <si>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</si>
  <si>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</si>
  <si>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</si>
  <si>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</si>
  <si>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</si>
  <si>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</si>
  <si>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</si>
  <si>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</si>
  <si>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</si>
  <si>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</si>
  <si>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</si>
  <si>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</si>
  <si>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</si>
  <si>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</si>
  <si>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</si>
  <si>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</si>
  <si>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</si>
  <si>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</si>
  <si>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</si>
  <si>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</si>
  <si>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</si>
  <si>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</si>
  <si>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</si>
  <si>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</si>
  <si>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</si>
  <si>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</si>
  <si>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</si>
  <si>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</si>
  <si>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</si>
  <si>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</si>
  <si>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</si>
  <si>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</si>
  <si>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</si>
  <si>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</si>
  <si>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</si>
  <si>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</si>
  <si>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</si>
  <si>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</si>
  <si>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</si>
  <si>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</si>
  <si>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</si>
  <si>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</si>
  <si>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</si>
  <si>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</si>
  <si>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</si>
  <si>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</si>
  <si>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</si>
  <si>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</si>
  <si>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</si>
  <si>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</si>
  <si>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</si>
  <si>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</si>
  <si>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</si>
  <si>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</si>
  <si>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</si>
  <si>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</si>
  <si>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</si>
  <si>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</si>
  <si>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</si>
  <si>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</si>
  <si>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</si>
  <si>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</si>
  <si>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</si>
  <si>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</si>
  <si>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</si>
  <si>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</si>
  <si>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</si>
  <si>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</si>
  <si>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</si>
  <si>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</si>
  <si>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</si>
  <si>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</si>
  <si>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</si>
  <si>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</si>
  <si>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</si>
  <si>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</si>
  <si>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</si>
  <si>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</si>
  <si>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</si>
  <si>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</si>
  <si>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</si>
  <si>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</si>
  <si>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</si>
  <si>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</si>
  <si>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</si>
  <si>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</si>
  <si>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</si>
  <si>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</si>
  <si>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</si>
  <si>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</si>
  <si>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</si>
  <si>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</si>
  <si>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</si>
  <si>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</si>
  <si>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</si>
  <si>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</si>
  <si>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</si>
  <si>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</si>
  <si>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</si>
  <si>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</si>
  <si>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</si>
  <si>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</si>
  <si>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</si>
  <si>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</si>
  <si>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</si>
  <si>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</si>
  <si>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</si>
  <si>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</si>
  <si>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</si>
  <si>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</si>
  <si>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</si>
  <si>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</si>
  <si>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</si>
  <si>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</si>
  <si>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</si>
  <si>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</si>
  <si>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</si>
  <si>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</si>
  <si>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</si>
  <si>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</si>
  <si>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</si>
  <si>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</si>
  <si>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</si>
  <si>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</si>
  <si>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</si>
  <si>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</si>
  <si>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</si>
  <si>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</si>
  <si>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</si>
  <si>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</si>
  <si>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</si>
  <si>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</si>
  <si>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</si>
  <si>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</si>
  <si>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</si>
  <si>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</si>
  <si>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</si>
  <si>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</si>
  <si>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</si>
  <si>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</si>
  <si>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</si>
  <si>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</si>
  <si>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</si>
  <si>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</si>
  <si>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</si>
  <si>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</si>
  <si>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</si>
  <si>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</si>
  <si>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</si>
  <si>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</si>
  <si>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</si>
  <si>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</si>
  <si>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</si>
  <si>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</si>
  <si>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</si>
  <si>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</si>
  <si>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</si>
  <si>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</si>
  <si>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</si>
  <si>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</si>
  <si>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</si>
  <si>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</si>
  <si>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</si>
  <si>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</si>
  <si>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</si>
  <si>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</si>
  <si>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</si>
  <si>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</si>
  <si>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</si>
  <si>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</si>
  <si>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</si>
  <si>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</si>
  <si>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</si>
  <si>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</si>
  <si>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</si>
  <si>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</si>
  <si>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</si>
  <si>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</si>
  <si>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</si>
  <si>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</si>
  <si>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</si>
  <si>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</si>
  <si>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</si>
  <si>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</si>
  <si>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</si>
  <si>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</si>
  <si>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</si>
  <si>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</si>
  <si>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</si>
  <si>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</si>
  <si>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</si>
  <si>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</si>
  <si>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</si>
  <si>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</si>
  <si>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</si>
  <si>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</si>
  <si>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</si>
  <si>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</si>
  <si>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</si>
  <si>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</si>
  <si>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</si>
  <si>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</si>
  <si>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</si>
  <si>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</si>
  <si>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</si>
  <si>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</si>
  <si>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</si>
  <si>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</si>
  <si>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</si>
  <si>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</si>
  <si>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</si>
  <si>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</si>
  <si>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</si>
  <si>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</si>
  <si>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</si>
  <si>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</si>
  <si>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</si>
  <si>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</si>
  <si>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</si>
  <si>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</si>
  <si>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</si>
  <si>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</si>
  <si>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</si>
  <si>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</si>
  <si>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</si>
  <si>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</si>
  <si>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</si>
  <si>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</si>
  <si>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</si>
  <si>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</si>
  <si>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</si>
  <si>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</si>
  <si>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</si>
  <si>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</si>
  <si>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</si>
  <si>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</si>
  <si>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</si>
  <si>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</si>
  <si>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</si>
  <si>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</si>
  <si>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</si>
  <si>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</si>
  <si>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</si>
  <si>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</si>
  <si>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</si>
  <si>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</si>
  <si>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</si>
  <si>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</si>
  <si>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</si>
  <si>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</si>
  <si>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</si>
  <si>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</si>
  <si>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</si>
  <si>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</si>
  <si>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</si>
  <si>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</si>
  <si>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</si>
  <si>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</si>
  <si>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</si>
  <si>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</si>
  <si>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</si>
  <si>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</si>
  <si>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</si>
  <si>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</si>
  <si>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</si>
  <si>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</si>
  <si>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</si>
  <si>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</si>
  <si>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</si>
  <si>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</si>
  <si>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</si>
  <si>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</si>
  <si>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</si>
  <si>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</si>
  <si>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</si>
  <si>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</si>
  <si>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</si>
  <si>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</si>
  <si>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</si>
  <si>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</si>
  <si>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</si>
  <si>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</si>
  <si>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</si>
  <si>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</si>
  <si>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</si>
  <si>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</si>
  <si>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</si>
  <si>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</si>
  <si>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</si>
  <si>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</si>
  <si>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</si>
  <si>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</si>
  <si>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</si>
  <si>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</si>
  <si>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</si>
  <si>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</si>
  <si>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</si>
  <si>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</si>
  <si>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</si>
  <si>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</si>
  <si>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</si>
  <si>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</si>
  <si>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</si>
  <si>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</si>
  <si>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</si>
  <si>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</si>
  <si>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</si>
  <si>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</si>
  <si>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15/4/1400</t>
  </si>
  <si>
    <t>16/4/1400</t>
  </si>
  <si>
    <t>سود سهام</t>
  </si>
  <si>
    <t>19/4/1400</t>
  </si>
  <si>
    <t>کگل</t>
  </si>
  <si>
    <t>بیمه البرز</t>
  </si>
  <si>
    <t>وبملت</t>
  </si>
  <si>
    <t>سیمان فارس و خوزستان</t>
  </si>
  <si>
    <t>شرکتهای غیر بورسی</t>
  </si>
  <si>
    <t>سود تقسیمی برای ومهان 1400</t>
  </si>
  <si>
    <t>20/4/1400</t>
  </si>
  <si>
    <t>داریوش</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</si>
  <si>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</si>
  <si>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</si>
  <si>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</si>
  <si>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</si>
  <si>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</si>
  <si>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</si>
  <si>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</si>
  <si>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</si>
  <si>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</si>
  <si>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</si>
  <si>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</si>
  <si>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</si>
  <si>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</si>
  <si>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</si>
  <si>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</si>
  <si>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</si>
  <si>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</si>
  <si>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</si>
  <si>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</si>
  <si>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</si>
  <si>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</si>
  <si>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</si>
  <si>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</si>
  <si>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</si>
  <si>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</si>
  <si>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</si>
  <si>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</si>
  <si>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</si>
  <si>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</si>
  <si>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</si>
  <si>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</si>
  <si>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</si>
  <si>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</si>
  <si>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</si>
  <si>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</si>
  <si>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</si>
  <si>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</si>
  <si>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</si>
  <si>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</si>
  <si>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</si>
  <si>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</si>
  <si>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</si>
  <si>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</si>
  <si>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</si>
  <si>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</si>
  <si>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</si>
  <si>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</si>
  <si>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</si>
  <si>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</si>
  <si>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</si>
  <si>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</si>
  <si>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</si>
  <si>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</si>
  <si>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</si>
  <si>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</si>
  <si>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</si>
  <si>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</si>
  <si>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</si>
  <si>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</si>
  <si>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</si>
  <si>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</si>
  <si>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</si>
  <si>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</si>
  <si>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</si>
  <si>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</si>
  <si>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</si>
  <si>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</si>
  <si>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</si>
  <si>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</si>
  <si>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</si>
  <si>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</si>
  <si>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</si>
  <si>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</si>
  <si>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</si>
  <si>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</si>
  <si>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</si>
  <si>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</si>
  <si>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</si>
  <si>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</si>
  <si>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</si>
  <si>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</si>
  <si>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</si>
  <si>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</si>
  <si>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</si>
  <si>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</si>
  <si>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</si>
  <si>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</si>
  <si>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</si>
  <si>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</si>
  <si>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</si>
  <si>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</si>
  <si>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</si>
  <si>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</si>
  <si>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</si>
  <si>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</si>
  <si>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</si>
  <si>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</si>
  <si>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</si>
  <si>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</si>
  <si>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</si>
  <si>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</si>
  <si>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</si>
  <si>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</si>
  <si>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</si>
  <si>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</si>
  <si>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</si>
  <si>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</si>
  <si>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</si>
  <si>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</si>
  <si>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</si>
  <si>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</si>
  <si>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</si>
  <si>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</si>
  <si>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</si>
  <si>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</si>
  <si>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</si>
  <si>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</si>
  <si>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</si>
  <si>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</si>
  <si>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</si>
  <si>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</si>
  <si>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</si>
  <si>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</si>
  <si>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</si>
  <si>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</si>
  <si>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</si>
  <si>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</si>
  <si>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</si>
  <si>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</si>
  <si>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</si>
  <si>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</si>
  <si>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</si>
  <si>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</si>
  <si>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</si>
  <si>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</si>
  <si>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4/6/1400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</si>
  <si>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</si>
  <si>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</si>
  <si>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</si>
  <si>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</si>
  <si>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</si>
  <si>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</si>
  <si>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</si>
  <si>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</si>
  <si>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</si>
  <si>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</si>
  <si>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</si>
  <si>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</si>
  <si>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</si>
  <si>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</si>
  <si>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</si>
  <si>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</si>
  <si>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</si>
  <si>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</si>
  <si>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</si>
  <si>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</si>
  <si>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</si>
  <si>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</si>
  <si>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</si>
  <si>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</si>
  <si>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</si>
  <si>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</si>
  <si>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</si>
  <si>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</si>
  <si>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</si>
  <si>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</si>
  <si>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</si>
  <si>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</si>
  <si>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</si>
  <si>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</si>
  <si>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</si>
  <si>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</si>
  <si>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</si>
  <si>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</si>
  <si>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</si>
  <si>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</si>
  <si>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</si>
  <si>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</si>
  <si>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</si>
  <si>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</si>
  <si>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</si>
  <si>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</si>
  <si>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</si>
  <si>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</si>
  <si>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</si>
  <si>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</si>
  <si>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</si>
  <si>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</si>
  <si>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</si>
  <si>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</si>
  <si>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</si>
  <si>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</si>
  <si>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</si>
  <si>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</si>
  <si>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</si>
  <si>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</si>
  <si>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</si>
  <si>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</si>
  <si>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</si>
  <si>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</si>
  <si>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</si>
  <si>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</si>
  <si>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</si>
  <si>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</si>
  <si>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</si>
  <si>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</si>
  <si>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</si>
  <si>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</si>
  <si>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</si>
  <si>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</si>
  <si>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</si>
  <si>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</si>
  <si>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</si>
  <si>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</si>
  <si>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</si>
  <si>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</si>
  <si>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</si>
  <si>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</si>
  <si>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</si>
  <si>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</si>
  <si>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</si>
  <si>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</si>
  <si>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</si>
  <si>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</si>
  <si>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</si>
  <si>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</si>
  <si>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</si>
  <si>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</si>
  <si>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</si>
  <si>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</si>
  <si>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</si>
  <si>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</si>
  <si>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</si>
  <si>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</si>
  <si>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</si>
  <si>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</si>
  <si>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</si>
  <si>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</si>
  <si>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</si>
  <si>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</si>
  <si>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</si>
  <si>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</si>
  <si>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</si>
  <si>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</si>
  <si>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</si>
  <si>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</si>
  <si>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</si>
  <si>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</si>
  <si>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</si>
  <si>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</si>
  <si>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</si>
  <si>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</si>
  <si>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</si>
  <si>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</si>
  <si>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</si>
  <si>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</si>
  <si>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</si>
  <si>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</si>
  <si>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</si>
  <si>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</si>
  <si>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</si>
  <si>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</si>
  <si>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</si>
  <si>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</si>
  <si>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</si>
  <si>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</si>
  <si>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</si>
  <si>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</si>
  <si>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</si>
  <si>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</si>
  <si>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</si>
  <si>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</si>
  <si>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</si>
  <si>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</si>
  <si>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</si>
  <si>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</si>
  <si>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</si>
  <si>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</si>
  <si>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</si>
  <si>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</si>
  <si>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</si>
  <si>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</si>
  <si>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</si>
  <si>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</si>
  <si>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</si>
  <si>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</si>
  <si>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</si>
  <si>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</si>
  <si>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</si>
  <si>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</si>
  <si>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</si>
  <si>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</si>
  <si>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</si>
  <si>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</si>
  <si>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</si>
  <si>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</si>
  <si>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</si>
  <si>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</si>
  <si>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</si>
  <si>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</si>
  <si>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</si>
  <si>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</si>
  <si>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</si>
  <si>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</si>
  <si>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</si>
  <si>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</si>
  <si>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</si>
  <si>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</si>
  <si>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</si>
  <si>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</si>
  <si>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</si>
  <si>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</si>
  <si>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</si>
  <si>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</si>
  <si>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</si>
  <si>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</si>
  <si>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</si>
  <si>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</si>
  <si>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</si>
  <si>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</si>
  <si>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</si>
  <si>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</si>
  <si>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</si>
  <si>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</si>
  <si>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</si>
  <si>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</si>
  <si>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</si>
  <si>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</si>
  <si>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</si>
  <si>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</si>
  <si>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</si>
  <si>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</si>
  <si>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</si>
  <si>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</si>
  <si>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</si>
  <si>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</si>
  <si>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</si>
  <si>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</si>
  <si>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</si>
  <si>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</si>
  <si>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</si>
  <si>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</si>
  <si>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</si>
  <si>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</si>
  <si>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</si>
  <si>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</si>
  <si>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</si>
  <si>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</si>
  <si>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</si>
  <si>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</si>
  <si>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</si>
  <si>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</si>
  <si>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</si>
  <si>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</si>
  <si>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</si>
  <si>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</si>
  <si>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</si>
  <si>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</si>
  <si>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</si>
  <si>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</si>
  <si>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</si>
  <si>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</si>
  <si>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</si>
  <si>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</si>
  <si>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</si>
  <si>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</si>
  <si>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</si>
  <si>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</si>
  <si>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</si>
  <si>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</si>
  <si>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</si>
  <si>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</si>
  <si>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</si>
  <si>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</si>
  <si>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</si>
  <si>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</si>
  <si>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</si>
  <si>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</si>
  <si>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</si>
  <si>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</si>
  <si>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</si>
  <si>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</si>
  <si>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</si>
  <si>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</si>
  <si>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</si>
  <si>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</si>
  <si>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</si>
  <si>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</si>
  <si>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</si>
  <si>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</si>
  <si>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</si>
  <si>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</si>
  <si>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</si>
  <si>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</si>
  <si>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</si>
  <si>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</si>
  <si>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</si>
  <si>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</si>
  <si>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</si>
  <si>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</si>
  <si>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</si>
  <si>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</si>
  <si>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</si>
  <si>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</si>
  <si>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</si>
  <si>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</si>
  <si>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</si>
  <si>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</si>
  <si>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</si>
  <si>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</si>
  <si>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</si>
  <si>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</si>
  <si>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</si>
  <si>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</si>
  <si>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</si>
  <si>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</si>
  <si>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</si>
  <si>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</si>
  <si>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</si>
  <si>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</si>
  <si>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</si>
  <si>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</si>
  <si>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</si>
  <si>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</si>
  <si>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</si>
  <si>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</si>
  <si>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</si>
  <si>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</si>
  <si>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</si>
  <si>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</si>
  <si>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</si>
  <si>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</si>
  <si>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</si>
  <si>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</si>
  <si>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</si>
  <si>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</si>
  <si>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6/7/1400</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</si>
  <si>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</si>
  <si>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</si>
  <si>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</si>
  <si>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</si>
  <si>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</si>
  <si>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</si>
  <si>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</si>
  <si>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</si>
  <si>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</si>
  <si>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</si>
  <si>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</si>
  <si>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</si>
  <si>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</si>
  <si>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</si>
  <si>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</si>
  <si>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</si>
  <si>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</si>
  <si>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</si>
  <si>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</si>
  <si>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</si>
  <si>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</si>
  <si>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</si>
  <si>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</si>
  <si>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</si>
  <si>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</si>
  <si>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</si>
  <si>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</si>
  <si>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</si>
  <si>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27/7/1400</t>
  </si>
  <si>
    <t>1/8/1400</t>
  </si>
  <si>
    <t>3/8/1400</t>
  </si>
  <si>
    <t>unknown</t>
  </si>
  <si>
    <t>10/7/1400</t>
  </si>
  <si>
    <t>mobina</t>
  </si>
  <si>
    <t>gg</t>
  </si>
  <si>
    <t>فولاد</t>
  </si>
  <si>
    <t>مدیریت سرمایه گذاری امید</t>
  </si>
  <si>
    <t>سیمان داراب</t>
  </si>
  <si>
    <t>مبین</t>
  </si>
  <si>
    <t>ح مدیدریت سرمایه گذاری امید</t>
  </si>
  <si>
    <t>غبشهر</t>
  </si>
  <si>
    <t>5/8/1400</t>
  </si>
  <si>
    <t>8/8/1400</t>
  </si>
  <si>
    <t xml:space="preserve">ومهان </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</si>
  <si>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</si>
  <si>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</si>
  <si>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</si>
  <si>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</si>
  <si>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</si>
  <si>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</si>
  <si>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</si>
  <si>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</si>
  <si>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</si>
  <si>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</si>
  <si>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</si>
  <si>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</si>
  <si>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</si>
  <si>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</si>
  <si>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</si>
  <si>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</si>
  <si>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</si>
  <si>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</si>
  <si>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</si>
  <si>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</si>
  <si>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</si>
  <si>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</si>
  <si>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</si>
  <si>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</si>
  <si>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</si>
  <si>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</si>
  <si>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</si>
  <si>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</si>
  <si>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</si>
  <si>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</si>
  <si>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</si>
  <si>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</si>
  <si>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</si>
  <si>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</si>
  <si>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</si>
  <si>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</si>
  <si>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</si>
  <si>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</si>
  <si>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</si>
  <si>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</si>
  <si>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</si>
  <si>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</si>
  <si>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</si>
  <si>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</si>
  <si>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</si>
  <si>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</si>
  <si>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</si>
  <si>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</si>
  <si>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</si>
  <si>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</si>
  <si>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</si>
  <si>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</si>
  <si>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</si>
  <si>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</si>
  <si>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</si>
  <si>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</si>
  <si>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</si>
  <si>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</si>
  <si>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</si>
  <si>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</si>
  <si>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</si>
  <si>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</si>
  <si>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</si>
  <si>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</si>
  <si>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</si>
  <si>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</si>
  <si>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</si>
  <si>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</si>
  <si>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</si>
  <si>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</si>
  <si>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</si>
  <si>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</si>
  <si>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</si>
  <si>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</si>
  <si>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</si>
  <si>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</si>
  <si>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6/9/1400</t>
  </si>
  <si>
    <t>1/6/1400</t>
  </si>
  <si>
    <t>8/9/1400</t>
  </si>
  <si>
    <t>9/9/1400</t>
  </si>
  <si>
    <t>13/9/1400</t>
  </si>
  <si>
    <t>واریز به حساب بورسی</t>
  </si>
  <si>
    <t>سارا واریز به حساب</t>
  </si>
  <si>
    <t>ومهان 2217 تا 436.6</t>
  </si>
  <si>
    <t>17/9/1400</t>
  </si>
  <si>
    <t>29/9/1400</t>
  </si>
  <si>
    <t>طلب علی نوسانگیری</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</si>
  <si>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</si>
  <si>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</si>
  <si>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</si>
  <si>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</si>
  <si>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</si>
  <si>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</si>
  <si>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</si>
  <si>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</si>
  <si>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</si>
  <si>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</si>
  <si>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</si>
  <si>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</si>
  <si>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</si>
  <si>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</si>
  <si>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</si>
  <si>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</si>
  <si>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</si>
  <si>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</si>
  <si>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</si>
  <si>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16/10/1400</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</si>
  <si>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</si>
  <si>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</si>
  <si>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</si>
  <si>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</si>
  <si>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</si>
  <si>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</si>
  <si>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</si>
  <si>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</si>
  <si>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</si>
  <si>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</si>
  <si>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</si>
  <si>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https://player.arvancloud.com/index.html?config=https://classiran.arvanlive.com/vasepah/origin_config.json</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</si>
  <si>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</si>
  <si>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</si>
  <si>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</si>
  <si>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</si>
  <si>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</si>
  <si>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</si>
  <si>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</si>
  <si>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</si>
  <si>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</si>
  <si>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</si>
  <si>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</si>
  <si>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</si>
  <si>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فولاد غدیر ایرانیان</t>
  </si>
  <si>
    <t>وکغدیر</t>
  </si>
  <si>
    <t>موتوژن</t>
  </si>
  <si>
    <t>توسعه آهن و فولاد گلگهر</t>
  </si>
  <si>
    <t>بموتو</t>
  </si>
  <si>
    <t>قیمت سهم در زمان پرداخت سود</t>
  </si>
  <si>
    <t xml:space="preserve">مریم </t>
  </si>
  <si>
    <t>سود وغدیر به قیمت</t>
  </si>
  <si>
    <t xml:space="preserve">افزایش سرمایه پارس بعلاوه 1 </t>
  </si>
  <si>
    <t>24/12/1400</t>
  </si>
  <si>
    <t>پول نقد</t>
  </si>
  <si>
    <t>قیمت سر به سر</t>
  </si>
  <si>
    <t>28/12/1400</t>
  </si>
  <si>
    <t>6/1/1401</t>
  </si>
  <si>
    <t>وغدیر 72827 تا 1496</t>
  </si>
  <si>
    <t>9/1/1401</t>
  </si>
  <si>
    <t>وامید</t>
  </si>
  <si>
    <t>10/1/1401</t>
  </si>
  <si>
    <t>14/1/1401</t>
  </si>
  <si>
    <t>15/1/1401</t>
  </si>
  <si>
    <t>a48899660-aN357315420*</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</si>
  <si>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</si>
  <si>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</si>
  <si>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</si>
  <si>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</si>
  <si>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</si>
  <si>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</si>
  <si>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</si>
  <si>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</si>
  <si>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</si>
  <si>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</si>
  <si>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وغدیر از سود تلفیقی 1400</t>
  </si>
  <si>
    <t>سود تلفیقی زیر مجموعه 1400</t>
  </si>
  <si>
    <t>DPS شرکت زیر مجموعه 1400</t>
  </si>
  <si>
    <t>سهم وغدیر 1400</t>
  </si>
  <si>
    <t>برآورد سود تلفیقی شرکت زیر مجموعه 1401</t>
  </si>
  <si>
    <t>سهم وغدیر از سود تلفیقی 1401</t>
  </si>
  <si>
    <t>برآورد eps اسفند 1401 وغدیر</t>
  </si>
  <si>
    <t>سهم وکغدیر از eps</t>
  </si>
  <si>
    <t>سهم وکغدیر از dps</t>
  </si>
  <si>
    <t>22/1/1401</t>
  </si>
  <si>
    <t>ومهان 152444 تا 531</t>
  </si>
  <si>
    <t>23/1/1401</t>
  </si>
  <si>
    <t>ومهان 2700529 تا 508</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</si>
  <si>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</si>
  <si>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</si>
  <si>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</si>
  <si>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</si>
  <si>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</si>
  <si>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</si>
  <si>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</si>
  <si>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</si>
  <si>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</si>
  <si>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</si>
  <si>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</si>
  <si>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</si>
  <si>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</si>
  <si>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</si>
  <si>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ضغدر3009 قیمت تصفیه 707</t>
  </si>
  <si>
    <t>31/1/1401</t>
  </si>
  <si>
    <t>1/2/1401</t>
  </si>
  <si>
    <t>2/2/1401</t>
  </si>
  <si>
    <t>3/2/1401</t>
  </si>
  <si>
    <t>طلب از مداحی 2/2/1401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</si>
  <si>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</si>
  <si>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</si>
  <si>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</si>
  <si>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</si>
  <si>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</si>
  <si>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</si>
  <si>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</si>
  <si>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</si>
  <si>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</si>
  <si>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بدهی وام بانک ملی 26 قسط 3/2/1401</t>
  </si>
  <si>
    <t>18/2/1401</t>
  </si>
  <si>
    <t>ومهان 85807 تا 523</t>
  </si>
  <si>
    <t>علی سکه قدیمی که به وغدیر تبدیل شد</t>
  </si>
  <si>
    <t>19/2/1401</t>
  </si>
  <si>
    <t>21/2/1401</t>
  </si>
  <si>
    <t>ومهان 505422 تا 543</t>
  </si>
  <si>
    <t>وغدیر 359786 تا 1322</t>
  </si>
  <si>
    <t>25/2/1401</t>
  </si>
  <si>
    <t>وغدیر  1673 تا 1518</t>
  </si>
  <si>
    <t>وغدیر 85137 تا 1302</t>
  </si>
  <si>
    <t>پول نقد بورس مریم</t>
  </si>
  <si>
    <t>26/2/1401</t>
  </si>
  <si>
    <t>وغدیر 48177 تا 1526</t>
  </si>
  <si>
    <t>وغدیر 37049 تا 1526</t>
  </si>
  <si>
    <t>27/2/1401</t>
  </si>
  <si>
    <t>وغدیر 951651 تا 1552</t>
  </si>
  <si>
    <t>ومهان 74758 تا 450</t>
  </si>
  <si>
    <t>ومهان 33018 تا 447</t>
  </si>
  <si>
    <t>تعدا دارایی خانواده بر حسب وغدیر</t>
  </si>
  <si>
    <t>تعداد دارایی خانواده بر حسب ومهان</t>
  </si>
  <si>
    <t>29/2/1401</t>
  </si>
  <si>
    <t>28/2/1401</t>
  </si>
  <si>
    <t>طلب نصف 41 قسط وام 50 میلیونی 24/2/1401</t>
  </si>
  <si>
    <t>31/2/1401</t>
  </si>
  <si>
    <t>سارا دریافت وجه</t>
  </si>
  <si>
    <t>وغدیر 48496 تا 1171</t>
  </si>
  <si>
    <t>1/3/1401</t>
  </si>
  <si>
    <t>ومهان 121111 تا 573</t>
  </si>
  <si>
    <t>2/3/1401</t>
  </si>
  <si>
    <t>ومهان 26075 تا 572</t>
  </si>
  <si>
    <t>وغدیر 70457 تا 1478</t>
  </si>
  <si>
    <t>3/3/1401</t>
  </si>
  <si>
    <t>ومهان 4982 تا 553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</si>
</sst>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rgb="FFFFFF6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thin">
        <color indexed="64"/>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9" fillId="0" borderId="12" applyNumberFormat="0" applyFill="0" applyAlignment="0" applyProtection="0"/>
  </cellStyleXfs>
  <cellXfs count="4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0" fontId="0" fillId="0" borderId="0" xfId="0"/>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0" borderId="0" xfId="0"/>
    <xf numFmtId="0" fontId="0" fillId="0" borderId="0" xfId="0"/>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38" borderId="1" xfId="0" applyFill="1" applyBorder="1" applyAlignment="1"/>
    <xf numFmtId="0" fontId="0" fillId="5" borderId="1" xfId="0" applyFill="1" applyBorder="1" applyAlignment="1"/>
    <xf numFmtId="4" fontId="0" fillId="10" borderId="1" xfId="0" applyNumberFormat="1" applyFill="1" applyBorder="1" applyAlignment="1">
      <alignment horizontal="center" vertical="center"/>
    </xf>
    <xf numFmtId="164" fontId="0" fillId="20" borderId="1" xfId="0" applyNumberFormat="1" applyFill="1" applyBorder="1" applyAlignment="1">
      <alignment horizontal="center" vertical="center"/>
    </xf>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16" fontId="0" fillId="10" borderId="0" xfId="0" applyNumberFormat="1" applyFill="1" applyBorder="1"/>
    <xf numFmtId="0" fontId="0" fillId="10" borderId="0" xfId="0" applyFill="1" applyBorder="1"/>
    <xf numFmtId="164" fontId="0" fillId="10" borderId="0" xfId="0" applyNumberFormat="1" applyFill="1" applyBorder="1" applyAlignment="1">
      <alignment horizontal="center"/>
    </xf>
    <xf numFmtId="0" fontId="0" fillId="39" borderId="0" xfId="0" applyFill="1" applyBorder="1"/>
    <xf numFmtId="164" fontId="0" fillId="39" borderId="0" xfId="0" applyNumberFormat="1" applyFill="1" applyBorder="1" applyAlignment="1">
      <alignment horizontal="center"/>
    </xf>
    <xf numFmtId="0" fontId="0" fillId="39" borderId="0" xfId="0" applyFill="1" applyBorder="1" applyAlignment="1">
      <alignment horizontal="center"/>
    </xf>
    <xf numFmtId="0" fontId="0" fillId="5" borderId="0" xfId="0" applyFill="1" applyBorder="1"/>
    <xf numFmtId="0" fontId="0" fillId="0" borderId="1" xfId="0" applyBorder="1" applyAlignment="1">
      <alignment horizontal="center" vertic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0" fontId="0" fillId="0" borderId="0" xfId="0"/>
    <xf numFmtId="16" fontId="0" fillId="40" borderId="1" xfId="0" applyNumberFormat="1" applyFill="1" applyBorder="1" applyAlignment="1">
      <alignment horizontal="center" vertical="center"/>
    </xf>
    <xf numFmtId="0" fontId="19" fillId="39" borderId="1" xfId="0" applyFont="1" applyFill="1" applyBorder="1" applyAlignment="1">
      <alignment horizontal="center" vertical="center"/>
    </xf>
    <xf numFmtId="0" fontId="0" fillId="0" borderId="0" xfId="0"/>
    <xf numFmtId="0" fontId="0" fillId="0" borderId="0" xfId="0"/>
    <xf numFmtId="16" fontId="0" fillId="0" borderId="0" xfId="0" applyNumberFormat="1" applyFill="1" applyBorder="1"/>
    <xf numFmtId="0" fontId="0" fillId="0" borderId="0" xfId="0" applyFill="1" applyBorder="1" applyAlignment="1">
      <alignment horizontal="center"/>
    </xf>
    <xf numFmtId="0" fontId="0" fillId="0" borderId="0" xfId="0" applyFill="1"/>
    <xf numFmtId="16" fontId="0" fillId="0" borderId="1" xfId="0" applyNumberFormat="1" applyFill="1" applyBorder="1"/>
    <xf numFmtId="0" fontId="0" fillId="0" borderId="0" xfId="0"/>
    <xf numFmtId="0" fontId="8" fillId="41" borderId="1" xfId="0" applyFont="1" applyFill="1" applyBorder="1" applyAlignment="1">
      <alignment horizontal="center" vertical="center" readingOrder="2"/>
    </xf>
    <xf numFmtId="0" fontId="0" fillId="36" borderId="6" xfId="0" applyFill="1" applyBorder="1" applyAlignment="1">
      <alignment horizontal="center"/>
    </xf>
    <xf numFmtId="3" fontId="0" fillId="36" borderId="6" xfId="0" applyNumberFormat="1" applyFill="1" applyBorder="1" applyAlignment="1">
      <alignment horizontal="center"/>
    </xf>
    <xf numFmtId="164" fontId="0" fillId="36" borderId="6" xfId="0" applyNumberFormat="1" applyFill="1" applyBorder="1" applyAlignment="1">
      <alignment horizontal="center" vertical="center"/>
    </xf>
    <xf numFmtId="0" fontId="29" fillId="36" borderId="1" xfId="4" applyFill="1" applyBorder="1" applyAlignment="1">
      <alignment horizontal="center"/>
    </xf>
    <xf numFmtId="3" fontId="29" fillId="36" borderId="1" xfId="4" applyNumberFormat="1" applyFill="1" applyBorder="1" applyAlignment="1">
      <alignment horizontal="center"/>
    </xf>
    <xf numFmtId="164" fontId="29" fillId="36" borderId="1" xfId="4" applyNumberFormat="1" applyFill="1" applyBorder="1" applyAlignment="1">
      <alignment horizontal="center" vertical="center"/>
    </xf>
    <xf numFmtId="0" fontId="29" fillId="4" borderId="1" xfId="4" applyFill="1" applyBorder="1" applyAlignment="1">
      <alignment horizontal="center"/>
    </xf>
    <xf numFmtId="3" fontId="29" fillId="4" borderId="1" xfId="4" applyNumberFormat="1" applyFill="1" applyBorder="1" applyAlignment="1">
      <alignment horizontal="center"/>
    </xf>
    <xf numFmtId="164" fontId="29" fillId="4" borderId="1" xfId="4" applyNumberFormat="1" applyFill="1" applyBorder="1" applyAlignment="1">
      <alignment horizontal="center" vertical="center"/>
    </xf>
    <xf numFmtId="0" fontId="29" fillId="4" borderId="1" xfId="4" applyFill="1" applyBorder="1" applyAlignment="1">
      <alignment horizontal="center" wrapText="1"/>
    </xf>
    <xf numFmtId="164" fontId="29" fillId="4" borderId="1" xfId="4" applyNumberFormat="1" applyFill="1" applyBorder="1" applyAlignment="1">
      <alignment horizontal="center"/>
    </xf>
    <xf numFmtId="3" fontId="0" fillId="36" borderId="7" xfId="0" applyNumberFormat="1" applyFill="1" applyBorder="1" applyAlignment="1">
      <alignment horizontal="center"/>
    </xf>
    <xf numFmtId="0" fontId="29" fillId="21" borderId="1" xfId="4" applyFill="1" applyBorder="1" applyAlignment="1">
      <alignment horizontal="center"/>
    </xf>
    <xf numFmtId="3" fontId="29" fillId="21" borderId="1" xfId="4" applyNumberFormat="1" applyFill="1" applyBorder="1" applyAlignment="1">
      <alignment horizontal="center"/>
    </xf>
    <xf numFmtId="164" fontId="29" fillId="21" borderId="1" xfId="4" applyNumberFormat="1" applyFill="1" applyBorder="1" applyAlignment="1">
      <alignment horizontal="center" vertical="center"/>
    </xf>
    <xf numFmtId="164" fontId="29" fillId="21" borderId="1" xfId="4" applyNumberFormat="1" applyFill="1" applyBorder="1" applyAlignment="1">
      <alignment horizontal="center"/>
    </xf>
    <xf numFmtId="0" fontId="0" fillId="0" borderId="0" xfId="0"/>
    <xf numFmtId="3" fontId="8" fillId="40" borderId="1" xfId="0" applyNumberFormat="1" applyFont="1" applyFill="1" applyBorder="1" applyAlignment="1">
      <alignment horizontal="center" vertical="center"/>
    </xf>
    <xf numFmtId="0" fontId="0" fillId="25" borderId="1" xfId="0" applyFill="1" applyBorder="1" applyAlignment="1"/>
    <xf numFmtId="0" fontId="0" fillId="25" borderId="0" xfId="0" applyFill="1"/>
    <xf numFmtId="0" fontId="0" fillId="25" borderId="0" xfId="0" applyFill="1" applyBorder="1"/>
    <xf numFmtId="164" fontId="0" fillId="25" borderId="0" xfId="0" applyNumberFormat="1" applyFill="1"/>
    <xf numFmtId="0" fontId="0" fillId="0" borderId="0" xfId="0"/>
    <xf numFmtId="0" fontId="0" fillId="0" borderId="13" xfId="0" applyBorder="1" applyAlignment="1">
      <alignment horizontal="center"/>
    </xf>
    <xf numFmtId="164" fontId="0" fillId="0" borderId="13" xfId="0" applyNumberFormat="1" applyBorder="1" applyAlignment="1">
      <alignment horizontal="center"/>
    </xf>
    <xf numFmtId="0" fontId="0" fillId="2" borderId="0" xfId="0" applyFill="1" applyAlignment="1">
      <alignment horizontal="center" vertical="center"/>
    </xf>
    <xf numFmtId="164" fontId="0" fillId="2" borderId="0" xfId="0" applyNumberFormat="1" applyFill="1"/>
    <xf numFmtId="0" fontId="0" fillId="0" borderId="0" xfId="0"/>
    <xf numFmtId="3" fontId="8" fillId="39"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44" borderId="1" xfId="0"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5">
    <cellStyle name="Heading 2" xfId="4" builtinId="17"/>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6418</v>
      </c>
      <c r="C1" s="40" t="s">
        <v>1329</v>
      </c>
      <c r="D1" s="40" t="s">
        <v>1330</v>
      </c>
      <c r="E1" s="40" t="s">
        <v>6417</v>
      </c>
      <c r="F1" s="40" t="s">
        <v>6416</v>
      </c>
      <c r="G1" s="40" t="s">
        <v>1331</v>
      </c>
      <c r="H1" s="40" t="s">
        <v>1332</v>
      </c>
      <c r="I1" s="40"/>
      <c r="J1" s="348"/>
      <c r="K1" s="348"/>
      <c r="L1" s="352"/>
    </row>
    <row r="2" spans="1:15">
      <c r="A2" s="40"/>
      <c r="B2" s="40"/>
      <c r="C2" s="40"/>
      <c r="D2" s="40"/>
      <c r="E2" s="40"/>
      <c r="F2" s="40"/>
      <c r="G2" s="40"/>
      <c r="H2" s="40"/>
      <c r="I2" s="40"/>
      <c r="J2" s="380"/>
      <c r="K2" s="380"/>
      <c r="L2" s="352"/>
    </row>
    <row r="3" spans="1:15">
      <c r="A3" s="40"/>
      <c r="B3" s="40"/>
      <c r="C3" s="40"/>
      <c r="D3" s="40"/>
      <c r="E3" s="40"/>
      <c r="F3" s="40"/>
      <c r="G3" s="40"/>
      <c r="H3" s="40"/>
      <c r="I3" s="40"/>
      <c r="J3" s="380"/>
      <c r="K3" s="380"/>
      <c r="L3" s="352"/>
    </row>
    <row r="4" spans="1:15">
      <c r="A4" s="351">
        <v>271110</v>
      </c>
      <c r="B4" s="351">
        <v>269660</v>
      </c>
      <c r="C4" s="40"/>
      <c r="D4" s="40"/>
      <c r="E4" s="40"/>
      <c r="F4" s="40"/>
      <c r="G4" s="40"/>
      <c r="H4" s="40"/>
      <c r="I4" s="40"/>
      <c r="J4" s="348"/>
      <c r="K4" s="348"/>
      <c r="L4" s="352"/>
    </row>
    <row r="5" spans="1:15">
      <c r="A5" s="351">
        <v>271110</v>
      </c>
      <c r="B5" s="351">
        <v>270550</v>
      </c>
      <c r="C5" s="268">
        <v>281380</v>
      </c>
      <c r="D5" s="268">
        <v>280240</v>
      </c>
      <c r="E5">
        <v>330</v>
      </c>
      <c r="F5" s="137">
        <v>1.1999999999999999E-3</v>
      </c>
      <c r="G5" s="202">
        <v>44508</v>
      </c>
      <c r="H5" t="s">
        <v>6750</v>
      </c>
      <c r="I5" s="40" t="s">
        <v>6414</v>
      </c>
      <c r="L5" s="40" t="str">
        <f t="shared" ref="L5:L36" si="0">CONCATENATE("USD",I5,TEXT(G5,"yyyymmdd"),I5,A334,I5,C5,I5,B334,I5,D5,I5,"1,1,1")</f>
        <v>USD,20211108,279840,281380,279700,280240,1,1,1</v>
      </c>
      <c r="N5" s="325"/>
    </row>
    <row r="6" spans="1:15">
      <c r="A6" s="351">
        <v>272810</v>
      </c>
      <c r="B6" s="351">
        <v>270050</v>
      </c>
      <c r="C6" s="268">
        <v>280080</v>
      </c>
      <c r="D6" s="268">
        <v>279910</v>
      </c>
      <c r="E6">
        <v>1670</v>
      </c>
      <c r="F6" s="137">
        <v>6.0000000000000001E-3</v>
      </c>
      <c r="G6" s="202">
        <v>44507</v>
      </c>
      <c r="H6" t="s">
        <v>6751</v>
      </c>
      <c r="I6" s="40" t="s">
        <v>6414</v>
      </c>
      <c r="L6" s="40" t="str">
        <f t="shared" si="0"/>
        <v>USD,20211107,278010,280080,277200,279910,1,1,1</v>
      </c>
    </row>
    <row r="7" spans="1:15">
      <c r="A7" s="351">
        <v>270860</v>
      </c>
      <c r="B7" s="351">
        <v>270850</v>
      </c>
      <c r="C7" s="268">
        <v>279580</v>
      </c>
      <c r="D7" s="268">
        <v>278240</v>
      </c>
      <c r="E7">
        <v>1730</v>
      </c>
      <c r="F7" s="137">
        <v>6.3E-3</v>
      </c>
      <c r="G7" s="202">
        <v>44506</v>
      </c>
      <c r="H7" t="s">
        <v>6752</v>
      </c>
      <c r="I7" s="40" t="s">
        <v>6414</v>
      </c>
      <c r="L7" s="40" t="str">
        <f t="shared" si="0"/>
        <v>USD,20211106,283180,279580,283100,278240,1,1,1</v>
      </c>
    </row>
    <row r="8" spans="1:15">
      <c r="A8" s="351">
        <v>273310</v>
      </c>
      <c r="B8" s="351">
        <v>270050</v>
      </c>
      <c r="C8" s="268">
        <v>277280</v>
      </c>
      <c r="D8" s="268">
        <v>276510</v>
      </c>
      <c r="E8">
        <v>2460</v>
      </c>
      <c r="F8" s="137">
        <v>8.8999999999999999E-3</v>
      </c>
      <c r="G8" s="202">
        <v>44504</v>
      </c>
      <c r="H8" t="s">
        <v>6753</v>
      </c>
      <c r="I8" s="40" t="s">
        <v>6414</v>
      </c>
      <c r="L8" s="40" t="str">
        <f t="shared" si="0"/>
        <v>USD,20211104,281760,277280,281400,276510,1,1,1</v>
      </c>
    </row>
    <row r="9" spans="1:15">
      <c r="A9" s="351">
        <v>273870</v>
      </c>
      <c r="B9" s="351">
        <v>272250</v>
      </c>
      <c r="C9" s="268">
        <v>279280</v>
      </c>
      <c r="D9" s="268">
        <v>278970</v>
      </c>
      <c r="E9">
        <v>2960</v>
      </c>
      <c r="F9" s="137">
        <v>1.0699999999999999E-2</v>
      </c>
      <c r="G9" s="202">
        <v>44503</v>
      </c>
      <c r="H9" t="s">
        <v>6754</v>
      </c>
      <c r="I9" s="40" t="s">
        <v>6414</v>
      </c>
      <c r="L9" s="40" t="str">
        <f t="shared" si="0"/>
        <v>USD,20211103,280230,279280,280200,278970,1,1,1</v>
      </c>
    </row>
    <row r="10" spans="1:15">
      <c r="A10" s="351">
        <v>273850</v>
      </c>
      <c r="B10" s="351">
        <v>269350</v>
      </c>
      <c r="C10" s="268">
        <v>276080</v>
      </c>
      <c r="D10" s="268">
        <v>276010</v>
      </c>
      <c r="E10">
        <v>940</v>
      </c>
      <c r="F10" s="137">
        <v>3.3999999999999998E-3</v>
      </c>
      <c r="G10" s="202">
        <v>44502</v>
      </c>
      <c r="H10" t="s">
        <v>6755</v>
      </c>
      <c r="I10" s="40" t="s">
        <v>6414</v>
      </c>
      <c r="L10" s="40" t="str">
        <f t="shared" si="0"/>
        <v>USD,20211102,,276080,,276010,1,1,1</v>
      </c>
      <c r="O10" t="s">
        <v>6415</v>
      </c>
    </row>
    <row r="11" spans="1:15">
      <c r="A11" s="351">
        <v>281890</v>
      </c>
      <c r="B11" s="351">
        <v>275490</v>
      </c>
      <c r="C11" s="268">
        <v>276380</v>
      </c>
      <c r="D11" s="268">
        <v>275070</v>
      </c>
      <c r="E11">
        <v>680</v>
      </c>
      <c r="F11" s="137">
        <v>2.5000000000000001E-3</v>
      </c>
      <c r="G11" s="202">
        <v>44501</v>
      </c>
      <c r="H11" t="s">
        <v>6756</v>
      </c>
      <c r="I11" s="40" t="s">
        <v>6414</v>
      </c>
      <c r="L11" s="40" t="str">
        <f t="shared" si="0"/>
        <v>USD,20211101,,276380,,275070,1,1,1</v>
      </c>
    </row>
    <row r="12" spans="1:15">
      <c r="A12" s="351">
        <v>282460</v>
      </c>
      <c r="B12" s="351">
        <v>281190</v>
      </c>
      <c r="C12" s="268">
        <v>276080</v>
      </c>
      <c r="D12" s="268">
        <v>275750</v>
      </c>
      <c r="E12">
        <v>390</v>
      </c>
      <c r="F12" s="137">
        <v>1.4E-3</v>
      </c>
      <c r="G12" s="202">
        <v>44500</v>
      </c>
      <c r="H12" t="s">
        <v>6757</v>
      </c>
      <c r="I12" s="40" t="s">
        <v>6414</v>
      </c>
      <c r="L12" s="40" t="str">
        <f t="shared" si="0"/>
        <v>USD,20211031,,276080,,275750,1,1,1</v>
      </c>
    </row>
    <row r="13" spans="1:15">
      <c r="A13" s="351">
        <v>279490</v>
      </c>
      <c r="B13" s="351">
        <v>277890</v>
      </c>
      <c r="C13" s="268">
        <v>276680</v>
      </c>
      <c r="D13" s="268">
        <v>276140</v>
      </c>
      <c r="E13">
        <v>430</v>
      </c>
      <c r="F13" s="137">
        <v>1.6000000000000001E-3</v>
      </c>
      <c r="G13" s="202">
        <v>44499</v>
      </c>
      <c r="H13" t="s">
        <v>6758</v>
      </c>
      <c r="I13" s="40" t="s">
        <v>6414</v>
      </c>
      <c r="L13" s="40" t="str">
        <f t="shared" si="0"/>
        <v>USD,20211030,,276680,,276140,1,1,1</v>
      </c>
    </row>
    <row r="14" spans="1:15">
      <c r="A14" s="351">
        <v>277530</v>
      </c>
      <c r="B14" s="351">
        <v>276790</v>
      </c>
      <c r="C14" s="268">
        <v>277080</v>
      </c>
      <c r="D14" s="268">
        <v>276570</v>
      </c>
      <c r="E14">
        <v>210</v>
      </c>
      <c r="F14" s="137">
        <v>8.0000000000000004E-4</v>
      </c>
      <c r="G14" s="202">
        <v>44497</v>
      </c>
      <c r="H14" t="s">
        <v>6759</v>
      </c>
      <c r="I14" s="40" t="s">
        <v>6414</v>
      </c>
      <c r="L14" s="40" t="str">
        <f t="shared" si="0"/>
        <v>USD,20211028,,277080,,276570,1,1,1</v>
      </c>
      <c r="N14" t="s">
        <v>25</v>
      </c>
    </row>
    <row r="15" spans="1:15">
      <c r="A15" s="351">
        <v>277190</v>
      </c>
      <c r="B15" s="351">
        <v>275690</v>
      </c>
      <c r="C15" s="268">
        <v>278080</v>
      </c>
      <c r="D15" s="268">
        <v>276780</v>
      </c>
      <c r="E15">
        <v>1010</v>
      </c>
      <c r="F15" s="137">
        <v>3.7000000000000002E-3</v>
      </c>
      <c r="G15" s="202">
        <v>44496</v>
      </c>
      <c r="H15" t="s">
        <v>6760</v>
      </c>
      <c r="I15" s="40" t="s">
        <v>6414</v>
      </c>
      <c r="L15" s="40" t="str">
        <f t="shared" si="0"/>
        <v>USD,20211027,,278080,,276780,1,1,1</v>
      </c>
    </row>
    <row r="16" spans="1:15">
      <c r="A16" s="351">
        <v>274390</v>
      </c>
      <c r="B16" s="351">
        <v>273690</v>
      </c>
      <c r="C16" s="268">
        <v>275780</v>
      </c>
      <c r="D16" s="268">
        <v>275770</v>
      </c>
      <c r="E16">
        <v>150</v>
      </c>
      <c r="F16" s="137">
        <v>5.0000000000000001E-4</v>
      </c>
      <c r="G16" s="202">
        <v>44495</v>
      </c>
      <c r="H16" t="s">
        <v>6761</v>
      </c>
      <c r="I16" s="40" t="s">
        <v>6414</v>
      </c>
      <c r="L16" s="40" t="str">
        <f t="shared" si="0"/>
        <v>USD,20211026,,275780,,275770,1,1,1</v>
      </c>
    </row>
    <row r="17" spans="1:12">
      <c r="A17" s="351">
        <v>274500</v>
      </c>
      <c r="B17" s="351">
        <v>273490</v>
      </c>
      <c r="C17" s="268">
        <v>276780</v>
      </c>
      <c r="D17" s="268">
        <v>275620</v>
      </c>
      <c r="E17">
        <v>410</v>
      </c>
      <c r="F17" s="137">
        <v>1.5E-3</v>
      </c>
      <c r="G17" s="202">
        <v>44494</v>
      </c>
      <c r="H17" t="s">
        <v>6762</v>
      </c>
      <c r="I17" s="40" t="s">
        <v>6414</v>
      </c>
      <c r="L17" s="40" t="str">
        <f t="shared" si="0"/>
        <v>USD,20211025,,276780,,275620,1,1,1</v>
      </c>
    </row>
    <row r="18" spans="1:12">
      <c r="A18" s="351">
        <v>269030</v>
      </c>
      <c r="B18" s="351">
        <v>268990</v>
      </c>
      <c r="C18" s="268">
        <v>276080</v>
      </c>
      <c r="D18" s="268">
        <v>276030</v>
      </c>
      <c r="E18">
        <v>1880</v>
      </c>
      <c r="F18" s="137">
        <v>6.8999999999999999E-3</v>
      </c>
      <c r="G18" s="202">
        <v>44492</v>
      </c>
      <c r="H18" t="s">
        <v>6763</v>
      </c>
      <c r="I18" s="40" t="s">
        <v>6414</v>
      </c>
      <c r="L18" s="40" t="str">
        <f t="shared" si="0"/>
        <v>USD,20211023,,276080,,276030,1,1,1</v>
      </c>
    </row>
    <row r="19" spans="1:12">
      <c r="A19" s="351">
        <v>269080</v>
      </c>
      <c r="B19" s="351">
        <v>268990</v>
      </c>
      <c r="C19" s="268">
        <v>274680</v>
      </c>
      <c r="D19" s="268">
        <v>274150</v>
      </c>
      <c r="E19">
        <v>1070</v>
      </c>
      <c r="F19" s="137">
        <v>3.8999999999999998E-3</v>
      </c>
      <c r="G19" s="202">
        <v>44490</v>
      </c>
      <c r="H19" t="s">
        <v>6764</v>
      </c>
      <c r="I19" s="40" t="s">
        <v>6414</v>
      </c>
      <c r="L19" s="40" t="str">
        <f t="shared" si="0"/>
        <v>USD,20211021,,274680,,274150,1,1,1</v>
      </c>
    </row>
    <row r="20" spans="1:12">
      <c r="A20" s="351">
        <v>269110</v>
      </c>
      <c r="B20" s="351">
        <v>268990</v>
      </c>
      <c r="C20" s="268">
        <v>274180</v>
      </c>
      <c r="D20" s="268">
        <v>273080</v>
      </c>
      <c r="E20">
        <v>1750</v>
      </c>
      <c r="F20" s="137">
        <v>6.4000000000000003E-3</v>
      </c>
      <c r="G20" s="202">
        <v>44489</v>
      </c>
      <c r="H20" t="s">
        <v>6765</v>
      </c>
      <c r="I20" s="40" t="s">
        <v>6414</v>
      </c>
      <c r="L20" s="40" t="str">
        <f t="shared" si="0"/>
        <v>USD,20211020,,274180,,273080,1,1,1</v>
      </c>
    </row>
    <row r="21" spans="1:12">
      <c r="A21" s="351">
        <v>263490</v>
      </c>
      <c r="B21" s="351">
        <v>263490</v>
      </c>
      <c r="C21" s="268">
        <v>275380</v>
      </c>
      <c r="D21" s="268">
        <v>274830</v>
      </c>
      <c r="E21">
        <v>2190</v>
      </c>
      <c r="F21" s="137">
        <v>8.0000000000000002E-3</v>
      </c>
      <c r="G21" s="202">
        <v>44488</v>
      </c>
      <c r="H21" t="s">
        <v>6766</v>
      </c>
      <c r="I21" s="40" t="s">
        <v>6414</v>
      </c>
      <c r="L21" s="40" t="str">
        <f t="shared" si="0"/>
        <v>USD,20211019,,275380,,274830,1,1,1</v>
      </c>
    </row>
    <row r="22" spans="1:12">
      <c r="A22" s="351">
        <v>263110</v>
      </c>
      <c r="B22" s="351">
        <v>262590</v>
      </c>
      <c r="C22" s="268">
        <v>273180</v>
      </c>
      <c r="D22" s="268">
        <v>272640</v>
      </c>
      <c r="E22">
        <v>820</v>
      </c>
      <c r="F22" s="137">
        <v>3.0000000000000001E-3</v>
      </c>
      <c r="G22" s="202">
        <v>44487</v>
      </c>
      <c r="H22" t="s">
        <v>6767</v>
      </c>
      <c r="I22" s="40" t="s">
        <v>6414</v>
      </c>
      <c r="L22" s="40" t="str">
        <f t="shared" si="0"/>
        <v>USD,20211018,,273180,,272640,1,1,1</v>
      </c>
    </row>
    <row r="23" spans="1:12">
      <c r="A23" s="351">
        <v>265890</v>
      </c>
      <c r="B23" s="351">
        <v>262890</v>
      </c>
      <c r="C23" s="268">
        <v>272980</v>
      </c>
      <c r="D23" s="268">
        <v>271820</v>
      </c>
      <c r="E23">
        <v>1030</v>
      </c>
      <c r="F23" s="137">
        <v>3.8E-3</v>
      </c>
      <c r="G23" s="202">
        <v>44486</v>
      </c>
      <c r="H23" t="s">
        <v>6768</v>
      </c>
      <c r="I23" s="40" t="s">
        <v>6414</v>
      </c>
      <c r="L23" s="40" t="str">
        <f t="shared" si="0"/>
        <v>USD,20211017,,272980,,271820,1,1,1</v>
      </c>
    </row>
    <row r="24" spans="1:12">
      <c r="A24" s="351">
        <v>264690</v>
      </c>
      <c r="B24" s="351">
        <v>263790</v>
      </c>
      <c r="C24" s="268">
        <v>273280</v>
      </c>
      <c r="D24" s="268">
        <v>272850</v>
      </c>
      <c r="E24">
        <v>1980</v>
      </c>
      <c r="F24" s="137">
        <v>7.3000000000000001E-3</v>
      </c>
      <c r="G24" s="202">
        <v>44485</v>
      </c>
      <c r="H24" t="s">
        <v>6769</v>
      </c>
      <c r="I24" s="40" t="s">
        <v>6414</v>
      </c>
      <c r="L24" s="40" t="str">
        <f t="shared" si="0"/>
        <v>USD,20211016,,273280,,272850,1,1,1</v>
      </c>
    </row>
    <row r="25" spans="1:12">
      <c r="A25" s="351">
        <v>258990</v>
      </c>
      <c r="B25" s="351">
        <v>258990</v>
      </c>
      <c r="C25" s="268">
        <v>272480</v>
      </c>
      <c r="D25" s="268">
        <v>270870</v>
      </c>
      <c r="E25">
        <v>690</v>
      </c>
      <c r="F25" s="137">
        <v>2.5000000000000001E-3</v>
      </c>
      <c r="G25" s="202">
        <v>44483</v>
      </c>
      <c r="H25" t="s">
        <v>6770</v>
      </c>
      <c r="I25" s="40" t="s">
        <v>6414</v>
      </c>
      <c r="L25" s="40" t="str">
        <f t="shared" si="0"/>
        <v>USD,20211014,,272480,,270870,1,1,1</v>
      </c>
    </row>
    <row r="26" spans="1:12">
      <c r="A26" s="351">
        <v>256340</v>
      </c>
      <c r="B26" s="351">
        <v>256190</v>
      </c>
      <c r="C26" s="268">
        <v>272780</v>
      </c>
      <c r="D26" s="268">
        <v>271560</v>
      </c>
      <c r="E26">
        <v>830</v>
      </c>
      <c r="F26" s="137">
        <v>3.0999999999999999E-3</v>
      </c>
      <c r="G26" s="202">
        <v>44482</v>
      </c>
      <c r="H26" t="s">
        <v>6771</v>
      </c>
      <c r="I26" s="40" t="s">
        <v>6414</v>
      </c>
      <c r="L26" s="40" t="str">
        <f t="shared" si="0"/>
        <v>USD,20211013,,272780,,271560,1,1,1</v>
      </c>
    </row>
    <row r="27" spans="1:12">
      <c r="A27" s="351">
        <v>256290</v>
      </c>
      <c r="B27" s="351">
        <v>252390</v>
      </c>
      <c r="C27" s="268">
        <v>273680</v>
      </c>
      <c r="D27" s="268">
        <v>270730</v>
      </c>
      <c r="E27">
        <v>2600</v>
      </c>
      <c r="F27" s="137">
        <v>9.5999999999999992E-3</v>
      </c>
      <c r="G27" s="202">
        <v>44481</v>
      </c>
      <c r="H27" t="s">
        <v>6772</v>
      </c>
      <c r="I27" s="40" t="s">
        <v>6414</v>
      </c>
      <c r="L27" s="40" t="str">
        <f t="shared" si="0"/>
        <v>USD,20211012,,273680,,270730,1,1,1</v>
      </c>
    </row>
    <row r="28" spans="1:12">
      <c r="A28" s="351">
        <v>254190</v>
      </c>
      <c r="B28" s="351">
        <v>253990</v>
      </c>
      <c r="C28" s="268">
        <v>276080</v>
      </c>
      <c r="D28" s="268">
        <v>273330</v>
      </c>
      <c r="E28">
        <v>2480</v>
      </c>
      <c r="F28" s="137">
        <v>9.1000000000000004E-3</v>
      </c>
      <c r="G28" s="202">
        <v>44480</v>
      </c>
      <c r="H28" t="s">
        <v>6773</v>
      </c>
      <c r="I28" s="40" t="s">
        <v>6414</v>
      </c>
      <c r="L28" s="40" t="str">
        <f t="shared" si="0"/>
        <v>USD,20211011,,276080,,273330,1,1,1</v>
      </c>
    </row>
    <row r="29" spans="1:12">
      <c r="A29" s="351">
        <v>256490</v>
      </c>
      <c r="B29" s="351">
        <v>255790</v>
      </c>
      <c r="C29" s="268">
        <v>276280</v>
      </c>
      <c r="D29" s="268">
        <v>275810</v>
      </c>
      <c r="E29">
        <v>210</v>
      </c>
      <c r="F29" s="137">
        <v>8.0000000000000004E-4</v>
      </c>
      <c r="G29" s="202">
        <v>44479</v>
      </c>
      <c r="H29" t="s">
        <v>6774</v>
      </c>
      <c r="I29" s="40" t="s">
        <v>6414</v>
      </c>
      <c r="L29" s="40" t="str">
        <f t="shared" si="0"/>
        <v>USD,20211010,,276280,,275810,1,1,1</v>
      </c>
    </row>
    <row r="30" spans="1:12">
      <c r="A30" s="351">
        <v>257250</v>
      </c>
      <c r="B30" s="351">
        <v>254690</v>
      </c>
      <c r="C30" s="268">
        <v>279380</v>
      </c>
      <c r="D30" s="268">
        <v>275600</v>
      </c>
      <c r="E30">
        <v>3720</v>
      </c>
      <c r="F30" s="137">
        <v>1.35E-2</v>
      </c>
      <c r="G30" s="202">
        <v>44478</v>
      </c>
      <c r="H30" t="s">
        <v>6775</v>
      </c>
      <c r="I30" s="40" t="s">
        <v>6414</v>
      </c>
      <c r="L30" s="40" t="str">
        <f t="shared" si="0"/>
        <v>USD,20211009,,279380,,275600,1,1,1</v>
      </c>
    </row>
    <row r="31" spans="1:12">
      <c r="A31" s="351">
        <v>255790</v>
      </c>
      <c r="B31" s="351">
        <v>255690</v>
      </c>
      <c r="C31" s="268">
        <v>281680</v>
      </c>
      <c r="D31" s="268">
        <v>279320</v>
      </c>
      <c r="E31">
        <v>2040</v>
      </c>
      <c r="F31" s="137">
        <v>7.3000000000000001E-3</v>
      </c>
      <c r="G31" s="202">
        <v>44475</v>
      </c>
      <c r="H31" t="s">
        <v>6776</v>
      </c>
      <c r="I31" s="40" t="s">
        <v>6414</v>
      </c>
      <c r="L31" s="40" t="str">
        <f t="shared" si="0"/>
        <v>USD,20211006,,281680,,279320,1,1,1</v>
      </c>
    </row>
    <row r="32" spans="1:12">
      <c r="A32" s="351">
        <v>255690</v>
      </c>
      <c r="B32" s="351">
        <v>254590</v>
      </c>
      <c r="C32" s="268">
        <v>281680</v>
      </c>
      <c r="D32" s="268">
        <v>281360</v>
      </c>
      <c r="E32" t="s">
        <v>6413</v>
      </c>
      <c r="F32" t="s">
        <v>6413</v>
      </c>
      <c r="G32" s="202">
        <v>44473</v>
      </c>
      <c r="H32" t="s">
        <v>6777</v>
      </c>
      <c r="I32" s="40" t="s">
        <v>6414</v>
      </c>
      <c r="L32" s="40" t="str">
        <f t="shared" si="0"/>
        <v>USD,20211004,,281680,,281360,1,1,1</v>
      </c>
    </row>
    <row r="33" spans="1:12">
      <c r="A33" s="351">
        <v>257190</v>
      </c>
      <c r="B33" s="351">
        <v>254290</v>
      </c>
      <c r="C33" s="268">
        <v>281610</v>
      </c>
      <c r="D33" s="268">
        <v>280410</v>
      </c>
      <c r="E33">
        <v>1600</v>
      </c>
      <c r="F33" s="137">
        <v>5.7000000000000002E-3</v>
      </c>
      <c r="G33" s="202">
        <v>44472</v>
      </c>
      <c r="H33" t="s">
        <v>6778</v>
      </c>
      <c r="I33" s="40" t="s">
        <v>6414</v>
      </c>
      <c r="L33" s="40" t="str">
        <f t="shared" si="0"/>
        <v>USD,20211003,,281610,,280410,1,1,1</v>
      </c>
    </row>
    <row r="34" spans="1:12">
      <c r="A34" s="351">
        <v>260270</v>
      </c>
      <c r="B34" s="351">
        <v>256990</v>
      </c>
      <c r="C34" s="268">
        <v>283510</v>
      </c>
      <c r="D34" s="268">
        <v>282010</v>
      </c>
      <c r="E34">
        <v>2700</v>
      </c>
      <c r="F34" s="137">
        <v>9.5999999999999992E-3</v>
      </c>
      <c r="G34" s="202">
        <v>44471</v>
      </c>
      <c r="H34" t="s">
        <v>6780</v>
      </c>
      <c r="I34" s="40" t="s">
        <v>6414</v>
      </c>
      <c r="L34" s="40" t="str">
        <f t="shared" si="0"/>
        <v>USD,20211002,,283510,,282010,1,1,1</v>
      </c>
    </row>
    <row r="35" spans="1:12">
      <c r="A35" s="268">
        <v>251800</v>
      </c>
      <c r="B35" s="268">
        <v>251690</v>
      </c>
      <c r="C35" s="268">
        <v>284710</v>
      </c>
      <c r="D35" s="268">
        <v>284710</v>
      </c>
      <c r="E35">
        <v>2200</v>
      </c>
      <c r="F35" s="137">
        <v>7.7999999999999996E-3</v>
      </c>
      <c r="G35" s="202">
        <v>44469</v>
      </c>
      <c r="H35" t="s">
        <v>6781</v>
      </c>
      <c r="I35" s="40" t="s">
        <v>6414</v>
      </c>
      <c r="L35" s="40" t="str">
        <f t="shared" si="0"/>
        <v>USD,20210930,,284710,,284710,1,1,1</v>
      </c>
    </row>
    <row r="36" spans="1:12">
      <c r="A36" s="268">
        <v>250780</v>
      </c>
      <c r="B36" s="268">
        <v>250690</v>
      </c>
      <c r="C36" s="268">
        <v>283210</v>
      </c>
      <c r="D36" s="268">
        <v>282510</v>
      </c>
      <c r="E36">
        <v>1800</v>
      </c>
      <c r="F36" s="137">
        <v>6.4000000000000003E-3</v>
      </c>
      <c r="G36" s="202">
        <v>44468</v>
      </c>
      <c r="H36" t="s">
        <v>6782</v>
      </c>
      <c r="I36" s="40" t="s">
        <v>6414</v>
      </c>
      <c r="L36" s="40" t="str">
        <f t="shared" si="0"/>
        <v>USD,20210929,,283210,,282510,1,1,1</v>
      </c>
    </row>
    <row r="37" spans="1:12">
      <c r="A37" s="268">
        <v>248130</v>
      </c>
      <c r="B37" s="268">
        <v>247890</v>
      </c>
      <c r="C37" s="268">
        <v>280710</v>
      </c>
      <c r="D37" s="268">
        <v>280710</v>
      </c>
      <c r="E37">
        <v>3900</v>
      </c>
      <c r="F37" s="137">
        <v>1.41E-2</v>
      </c>
      <c r="G37" s="202">
        <v>44467</v>
      </c>
      <c r="H37" t="s">
        <v>6783</v>
      </c>
      <c r="I37" s="40" t="s">
        <v>6414</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6784</v>
      </c>
      <c r="I38" s="40" t="s">
        <v>6414</v>
      </c>
      <c r="L38" s="40" t="str">
        <f t="shared" si="1"/>
        <v>USD,20210926,,276910,,276810,1,1,1</v>
      </c>
    </row>
    <row r="39" spans="1:12">
      <c r="A39" s="268">
        <v>246190</v>
      </c>
      <c r="B39" s="268">
        <v>246190</v>
      </c>
      <c r="C39" s="268">
        <v>276810</v>
      </c>
      <c r="D39" s="268">
        <v>275610</v>
      </c>
      <c r="E39">
        <v>1200</v>
      </c>
      <c r="F39" s="137">
        <v>4.4000000000000003E-3</v>
      </c>
      <c r="G39" s="202">
        <v>44464</v>
      </c>
      <c r="H39" t="s">
        <v>6785</v>
      </c>
      <c r="I39" s="40" t="s">
        <v>6414</v>
      </c>
      <c r="L39" s="40" t="str">
        <f t="shared" si="1"/>
        <v>USD,20210925,,276810,,275610,1,1,1</v>
      </c>
    </row>
    <row r="40" spans="1:12">
      <c r="A40" s="268">
        <v>246240</v>
      </c>
      <c r="B40" s="268">
        <v>246190</v>
      </c>
      <c r="C40" s="268">
        <v>276810</v>
      </c>
      <c r="D40" s="268">
        <v>276810</v>
      </c>
      <c r="E40">
        <v>1600</v>
      </c>
      <c r="F40" s="137">
        <v>5.7999999999999996E-3</v>
      </c>
      <c r="G40" s="202">
        <v>44462</v>
      </c>
      <c r="H40" t="s">
        <v>6779</v>
      </c>
      <c r="I40" s="40" t="s">
        <v>6414</v>
      </c>
      <c r="L40" s="40" t="str">
        <f t="shared" si="1"/>
        <v>USD,20210923,,276810,,276810,1,1,1</v>
      </c>
    </row>
    <row r="41" spans="1:12">
      <c r="A41" s="268">
        <v>244820</v>
      </c>
      <c r="B41" s="268">
        <v>244790</v>
      </c>
      <c r="C41" s="268">
        <v>276110</v>
      </c>
      <c r="D41" s="268">
        <v>275210</v>
      </c>
      <c r="E41">
        <v>1180</v>
      </c>
      <c r="F41" s="137">
        <v>4.3E-3</v>
      </c>
      <c r="G41" s="202">
        <v>44461</v>
      </c>
      <c r="H41" t="s">
        <v>6786</v>
      </c>
      <c r="I41" s="40" t="s">
        <v>6414</v>
      </c>
      <c r="L41" s="40" t="str">
        <f t="shared" si="1"/>
        <v>USD,20210922,,276110,,275210,1,1,1</v>
      </c>
    </row>
    <row r="42" spans="1:12">
      <c r="A42" s="268">
        <v>245600</v>
      </c>
      <c r="B42" s="268">
        <v>244090</v>
      </c>
      <c r="C42" s="268">
        <v>276310</v>
      </c>
      <c r="D42" s="268">
        <v>274030</v>
      </c>
      <c r="E42" t="s">
        <v>6413</v>
      </c>
      <c r="F42" t="s">
        <v>6413</v>
      </c>
      <c r="G42" s="202">
        <v>44460</v>
      </c>
      <c r="H42" t="s">
        <v>6787</v>
      </c>
      <c r="I42" s="40" t="s">
        <v>6414</v>
      </c>
      <c r="L42" s="40" t="str">
        <f t="shared" si="1"/>
        <v>USD,20210921,,276310,,274030,1,1,1</v>
      </c>
    </row>
    <row r="43" spans="1:12">
      <c r="A43" s="268">
        <v>246890</v>
      </c>
      <c r="B43" s="268">
        <v>245190</v>
      </c>
      <c r="C43" s="268">
        <v>274510</v>
      </c>
      <c r="D43" s="268">
        <v>274430</v>
      </c>
      <c r="E43">
        <v>220</v>
      </c>
      <c r="F43" s="137">
        <v>8.0000000000000004E-4</v>
      </c>
      <c r="G43" s="202">
        <v>44459</v>
      </c>
      <c r="H43" t="s">
        <v>6788</v>
      </c>
      <c r="I43" s="40" t="s">
        <v>6414</v>
      </c>
      <c r="L43" s="40" t="str">
        <f t="shared" si="1"/>
        <v>USD,20210920,,274510,,274430,1,1,1</v>
      </c>
    </row>
    <row r="44" spans="1:12">
      <c r="A44" s="268">
        <v>247610</v>
      </c>
      <c r="B44" s="268">
        <v>247190</v>
      </c>
      <c r="C44" s="268">
        <v>275010</v>
      </c>
      <c r="D44" s="268">
        <v>274650</v>
      </c>
      <c r="E44">
        <v>940</v>
      </c>
      <c r="F44" s="137">
        <v>3.3999999999999998E-3</v>
      </c>
      <c r="G44" s="202">
        <v>44458</v>
      </c>
      <c r="H44" t="s">
        <v>6789</v>
      </c>
      <c r="I44" s="40" t="s">
        <v>6414</v>
      </c>
      <c r="L44" s="40" t="str">
        <f t="shared" si="1"/>
        <v>USD,20210919,,275010,,274650,1,1,1</v>
      </c>
    </row>
    <row r="45" spans="1:12">
      <c r="A45" s="268">
        <v>246190</v>
      </c>
      <c r="B45" s="268">
        <v>246190</v>
      </c>
      <c r="C45" s="268">
        <v>276410</v>
      </c>
      <c r="D45" s="268">
        <v>273710</v>
      </c>
      <c r="E45">
        <v>750</v>
      </c>
      <c r="F45" s="137">
        <v>2.7000000000000001E-3</v>
      </c>
      <c r="G45" s="202">
        <v>44457</v>
      </c>
      <c r="H45" t="s">
        <v>6790</v>
      </c>
      <c r="I45" s="40" t="s">
        <v>6414</v>
      </c>
      <c r="L45" s="40" t="str">
        <f t="shared" si="1"/>
        <v>USD,20210918,,276410,,273710,1,1,1</v>
      </c>
    </row>
    <row r="46" spans="1:12">
      <c r="A46" s="268">
        <v>247610</v>
      </c>
      <c r="B46" s="268">
        <v>244990</v>
      </c>
      <c r="C46" s="268">
        <v>274510</v>
      </c>
      <c r="D46" s="268">
        <v>274460</v>
      </c>
      <c r="E46">
        <v>1250</v>
      </c>
      <c r="F46" s="137">
        <v>4.5999999999999999E-3</v>
      </c>
      <c r="G46" s="202">
        <v>44455</v>
      </c>
      <c r="H46" t="s">
        <v>6791</v>
      </c>
      <c r="I46" s="40" t="s">
        <v>6414</v>
      </c>
      <c r="L46" s="40" t="str">
        <f t="shared" si="1"/>
        <v>USD,20210916,,274510,,274460,1,1,1</v>
      </c>
    </row>
    <row r="47" spans="1:12">
      <c r="A47" s="268">
        <v>249740</v>
      </c>
      <c r="B47" s="268">
        <v>247090</v>
      </c>
      <c r="C47" s="268">
        <v>274210</v>
      </c>
      <c r="D47" s="268">
        <v>273210</v>
      </c>
      <c r="E47">
        <v>3260</v>
      </c>
      <c r="F47" s="137">
        <v>1.1900000000000001E-2</v>
      </c>
      <c r="G47" s="202">
        <v>44454</v>
      </c>
      <c r="H47" t="s">
        <v>6792</v>
      </c>
      <c r="I47" s="40" t="s">
        <v>6414</v>
      </c>
      <c r="L47" s="40" t="str">
        <f t="shared" si="1"/>
        <v>USD,20210915,,274210,,273210,1,1,1</v>
      </c>
    </row>
    <row r="48" spans="1:12">
      <c r="A48" s="268">
        <v>250040</v>
      </c>
      <c r="B48" s="268">
        <v>249290</v>
      </c>
      <c r="C48" s="268">
        <v>277310</v>
      </c>
      <c r="D48" s="268">
        <v>276470</v>
      </c>
      <c r="E48">
        <v>3360</v>
      </c>
      <c r="F48" s="137">
        <v>1.23E-2</v>
      </c>
      <c r="G48" s="202">
        <v>44453</v>
      </c>
      <c r="H48" t="s">
        <v>6793</v>
      </c>
      <c r="I48" s="40" t="s">
        <v>6414</v>
      </c>
      <c r="L48" s="40" t="str">
        <f t="shared" si="1"/>
        <v>USD,20210914,,277310,,276470,1,1,1</v>
      </c>
    </row>
    <row r="49" spans="1:12">
      <c r="A49" s="268">
        <v>249210</v>
      </c>
      <c r="B49" s="268">
        <v>248790</v>
      </c>
      <c r="C49" s="268">
        <v>273210</v>
      </c>
      <c r="D49" s="268">
        <v>273110</v>
      </c>
      <c r="E49">
        <v>600</v>
      </c>
      <c r="F49" s="137">
        <v>2.2000000000000001E-3</v>
      </c>
      <c r="G49" s="202">
        <v>44452</v>
      </c>
      <c r="H49" t="s">
        <v>6794</v>
      </c>
      <c r="I49" s="40" t="s">
        <v>6414</v>
      </c>
      <c r="L49" s="40" t="str">
        <f t="shared" si="1"/>
        <v>USD,20210913,,273210,,273110,1,1,1</v>
      </c>
    </row>
    <row r="50" spans="1:12">
      <c r="A50" s="268">
        <v>250340</v>
      </c>
      <c r="B50" s="268">
        <v>248190</v>
      </c>
      <c r="C50" s="268">
        <v>277210</v>
      </c>
      <c r="D50" s="268">
        <v>272510</v>
      </c>
      <c r="E50">
        <v>4800</v>
      </c>
      <c r="F50" s="137">
        <v>1.7600000000000001E-2</v>
      </c>
      <c r="G50" s="202">
        <v>44451</v>
      </c>
      <c r="H50" t="s">
        <v>6795</v>
      </c>
      <c r="I50" s="40" t="s">
        <v>6414</v>
      </c>
      <c r="L50" s="40" t="str">
        <f t="shared" si="1"/>
        <v>USD,20210912,,277210,,272510,1,1,1</v>
      </c>
    </row>
    <row r="51" spans="1:12">
      <c r="A51" s="268">
        <v>251070</v>
      </c>
      <c r="B51" s="268">
        <v>249490</v>
      </c>
      <c r="C51" s="268">
        <v>278810</v>
      </c>
      <c r="D51" s="268">
        <v>277310</v>
      </c>
      <c r="E51">
        <v>960</v>
      </c>
      <c r="F51" s="137">
        <v>3.5000000000000001E-3</v>
      </c>
      <c r="G51" s="202">
        <v>44450</v>
      </c>
      <c r="H51" t="s">
        <v>6796</v>
      </c>
      <c r="I51" s="40" t="s">
        <v>6414</v>
      </c>
      <c r="L51" s="40" t="str">
        <f t="shared" si="1"/>
        <v>USD,20210911,,278810,,277310,1,1,1</v>
      </c>
    </row>
    <row r="52" spans="1:12">
      <c r="A52" s="268">
        <v>250490</v>
      </c>
      <c r="B52" s="268">
        <v>250010</v>
      </c>
      <c r="C52" s="268">
        <v>279010</v>
      </c>
      <c r="D52" s="268">
        <v>278270</v>
      </c>
      <c r="E52">
        <v>1460</v>
      </c>
      <c r="F52" s="137">
        <v>5.3E-3</v>
      </c>
      <c r="G52" s="202">
        <v>44448</v>
      </c>
      <c r="H52" t="s">
        <v>6797</v>
      </c>
      <c r="I52" s="40" t="s">
        <v>6414</v>
      </c>
      <c r="L52" s="40" t="str">
        <f t="shared" si="1"/>
        <v>USD,20210909,,279010,,278270,1,1,1</v>
      </c>
    </row>
    <row r="53" spans="1:12">
      <c r="A53" s="268">
        <v>250990</v>
      </c>
      <c r="B53" s="268">
        <v>250590</v>
      </c>
      <c r="C53" s="268">
        <v>277310</v>
      </c>
      <c r="D53" s="268">
        <v>276810</v>
      </c>
      <c r="E53">
        <v>3000</v>
      </c>
      <c r="F53" s="137">
        <v>1.0999999999999999E-2</v>
      </c>
      <c r="G53" s="202">
        <v>44447</v>
      </c>
      <c r="H53" t="s">
        <v>6798</v>
      </c>
      <c r="I53" s="40" t="s">
        <v>6414</v>
      </c>
      <c r="L53" s="40" t="str">
        <f t="shared" si="1"/>
        <v>USD,20210908,,277310,,276810,1,1,1</v>
      </c>
    </row>
    <row r="54" spans="1:12">
      <c r="A54" s="268">
        <v>251220</v>
      </c>
      <c r="B54" s="268">
        <v>249490</v>
      </c>
      <c r="C54" s="268">
        <v>274010</v>
      </c>
      <c r="D54" s="268">
        <v>273810</v>
      </c>
      <c r="E54">
        <v>2600</v>
      </c>
      <c r="F54" s="137">
        <v>9.5999999999999992E-3</v>
      </c>
      <c r="G54" s="202">
        <v>44446</v>
      </c>
      <c r="H54" t="s">
        <v>6799</v>
      </c>
      <c r="I54" s="40" t="s">
        <v>6414</v>
      </c>
      <c r="L54" s="40" t="str">
        <f t="shared" si="1"/>
        <v>USD,20210907,,274010,,273810,1,1,1</v>
      </c>
    </row>
    <row r="55" spans="1:12">
      <c r="A55" s="268">
        <v>254490</v>
      </c>
      <c r="B55" s="268">
        <v>251090</v>
      </c>
      <c r="C55" s="268">
        <v>251640</v>
      </c>
      <c r="D55" s="268">
        <v>251090</v>
      </c>
      <c r="E55">
        <v>1370</v>
      </c>
      <c r="F55" s="137">
        <v>5.4999999999999997E-3</v>
      </c>
      <c r="G55" s="202">
        <v>44383</v>
      </c>
      <c r="H55" t="s">
        <v>6419</v>
      </c>
      <c r="I55" s="40" t="s">
        <v>6414</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6420</v>
      </c>
      <c r="I56" s="40" t="s">
        <v>6414</v>
      </c>
      <c r="L56" s="40" t="str">
        <f t="shared" si="2"/>
        <v>USD,20210705,251220,251340,249490,249720,1,1,1</v>
      </c>
    </row>
    <row r="57" spans="1:12">
      <c r="A57" s="268">
        <v>253290</v>
      </c>
      <c r="B57" s="268">
        <v>250690</v>
      </c>
      <c r="C57" s="268">
        <v>254640</v>
      </c>
      <c r="D57" s="268">
        <v>251510</v>
      </c>
      <c r="E57">
        <v>850</v>
      </c>
      <c r="F57" s="137">
        <v>3.3999999999999998E-3</v>
      </c>
      <c r="G57" s="202">
        <v>44381</v>
      </c>
      <c r="H57" t="s">
        <v>6292</v>
      </c>
      <c r="I57" s="40" t="s">
        <v>6414</v>
      </c>
      <c r="L57" s="40" t="str">
        <f t="shared" si="2"/>
        <v>USD,20210704,254490,254640,251090,251510,1,1,1</v>
      </c>
    </row>
    <row r="58" spans="1:12">
      <c r="A58" s="268">
        <v>250020</v>
      </c>
      <c r="B58" s="268">
        <v>249990</v>
      </c>
      <c r="C58" s="268">
        <v>253840</v>
      </c>
      <c r="D58" s="268">
        <v>252360</v>
      </c>
      <c r="E58">
        <v>850</v>
      </c>
      <c r="F58" s="137">
        <v>3.3999999999999998E-3</v>
      </c>
      <c r="G58" s="202">
        <v>44380</v>
      </c>
      <c r="H58" t="s">
        <v>6421</v>
      </c>
      <c r="I58" s="40" t="s">
        <v>6414</v>
      </c>
      <c r="L58" s="40" t="str">
        <f t="shared" si="2"/>
        <v>USD,20210703,251600,253840,251390,252360,1,1,1</v>
      </c>
    </row>
    <row r="59" spans="1:12">
      <c r="A59" s="268">
        <v>249000</v>
      </c>
      <c r="B59" s="268">
        <v>248890</v>
      </c>
      <c r="C59" s="268">
        <v>253440</v>
      </c>
      <c r="D59" s="268">
        <v>251510</v>
      </c>
      <c r="E59">
        <v>2490</v>
      </c>
      <c r="F59" s="137">
        <v>9.9000000000000008E-3</v>
      </c>
      <c r="G59" s="202">
        <v>44378</v>
      </c>
      <c r="H59" t="s">
        <v>6422</v>
      </c>
      <c r="I59" s="40" t="s">
        <v>6414</v>
      </c>
      <c r="L59" s="40" t="str">
        <f t="shared" si="2"/>
        <v>USD,20210701,253290,253440,250690,251510,1,1,1</v>
      </c>
    </row>
    <row r="60" spans="1:12">
      <c r="A60" s="268">
        <v>246360</v>
      </c>
      <c r="B60" s="268">
        <v>246290</v>
      </c>
      <c r="C60" s="268">
        <v>254130</v>
      </c>
      <c r="D60" s="268">
        <v>254000</v>
      </c>
      <c r="E60">
        <v>4350</v>
      </c>
      <c r="F60" s="137">
        <v>1.7399999999999999E-2</v>
      </c>
      <c r="G60" s="202">
        <v>44377</v>
      </c>
      <c r="H60" t="s">
        <v>6423</v>
      </c>
      <c r="I60" s="40" t="s">
        <v>6414</v>
      </c>
      <c r="L60" s="40" t="str">
        <f t="shared" si="2"/>
        <v>USD,20210630,250020,254130,249990,254000,1,1,1</v>
      </c>
    </row>
    <row r="61" spans="1:12">
      <c r="A61" s="268">
        <v>243490</v>
      </c>
      <c r="B61" s="268">
        <v>243490</v>
      </c>
      <c r="C61" s="268">
        <v>252040</v>
      </c>
      <c r="D61" s="268">
        <v>249650</v>
      </c>
      <c r="E61">
        <v>2530</v>
      </c>
      <c r="F61" s="137">
        <v>1.0200000000000001E-2</v>
      </c>
      <c r="G61" s="202">
        <v>44376</v>
      </c>
      <c r="H61" t="s">
        <v>6424</v>
      </c>
      <c r="I61" s="40" t="s">
        <v>6414</v>
      </c>
      <c r="L61" s="40" t="str">
        <f t="shared" si="2"/>
        <v>USD,20210629,249000,252040,248890,249650,1,1,1</v>
      </c>
    </row>
    <row r="62" spans="1:12">
      <c r="A62" s="268">
        <v>244500</v>
      </c>
      <c r="B62" s="268">
        <v>242290</v>
      </c>
      <c r="C62" s="268">
        <v>248640</v>
      </c>
      <c r="D62" s="268">
        <v>247120</v>
      </c>
      <c r="E62">
        <v>350</v>
      </c>
      <c r="F62" s="137">
        <v>1.4E-3</v>
      </c>
      <c r="G62" s="202">
        <v>44375</v>
      </c>
      <c r="H62" t="s">
        <v>6425</v>
      </c>
      <c r="I62" s="40" t="s">
        <v>6414</v>
      </c>
      <c r="L62" s="40" t="str">
        <f t="shared" si="2"/>
        <v>USD,20210628,246360,248640,246290,247120,1,1,1</v>
      </c>
    </row>
    <row r="63" spans="1:12">
      <c r="A63" s="268">
        <v>241690</v>
      </c>
      <c r="B63" s="268">
        <v>241190</v>
      </c>
      <c r="C63" s="268">
        <v>246940</v>
      </c>
      <c r="D63" s="268">
        <v>246770</v>
      </c>
      <c r="E63">
        <v>2230</v>
      </c>
      <c r="F63" s="137">
        <v>9.1000000000000004E-3</v>
      </c>
      <c r="G63" s="202">
        <v>44374</v>
      </c>
      <c r="H63" t="s">
        <v>6426</v>
      </c>
      <c r="I63" s="40" t="s">
        <v>6414</v>
      </c>
      <c r="L63" s="40" t="str">
        <f t="shared" si="2"/>
        <v>USD,20210627,243490,246940,243490,246770,1,1,1</v>
      </c>
    </row>
    <row r="64" spans="1:12">
      <c r="A64" s="268">
        <v>243310</v>
      </c>
      <c r="B64" s="268">
        <v>240790</v>
      </c>
      <c r="C64" s="268">
        <v>245940</v>
      </c>
      <c r="D64" s="268">
        <v>244540</v>
      </c>
      <c r="E64">
        <v>2650</v>
      </c>
      <c r="F64" s="137">
        <v>1.0999999999999999E-2</v>
      </c>
      <c r="G64" s="202">
        <v>44373</v>
      </c>
      <c r="H64" t="s">
        <v>6427</v>
      </c>
      <c r="I64" s="40" t="s">
        <v>6414</v>
      </c>
      <c r="L64" s="40" t="str">
        <f t="shared" si="2"/>
        <v>USD,20210626,244500,245940,242290,244540,1,1,1</v>
      </c>
    </row>
    <row r="65" spans="1:12">
      <c r="A65" s="268">
        <v>241190</v>
      </c>
      <c r="B65" s="268">
        <v>241190</v>
      </c>
      <c r="C65" s="268">
        <v>242440</v>
      </c>
      <c r="D65" s="268">
        <v>241890</v>
      </c>
      <c r="E65">
        <v>100</v>
      </c>
      <c r="F65" s="137">
        <v>4.0000000000000002E-4</v>
      </c>
      <c r="G65" s="202">
        <v>44371</v>
      </c>
      <c r="H65" t="s">
        <v>6428</v>
      </c>
      <c r="I65" s="40" t="s">
        <v>6414</v>
      </c>
      <c r="L65" s="40" t="str">
        <f t="shared" si="2"/>
        <v>USD,20210624,241690,242440,241190,241890,1,1,1</v>
      </c>
    </row>
    <row r="66" spans="1:12">
      <c r="A66" s="268">
        <v>239940</v>
      </c>
      <c r="B66" s="268">
        <v>239190</v>
      </c>
      <c r="C66" s="268">
        <v>243340</v>
      </c>
      <c r="D66" s="268">
        <v>241790</v>
      </c>
      <c r="E66">
        <v>880</v>
      </c>
      <c r="F66" s="137">
        <v>3.5999999999999999E-3</v>
      </c>
      <c r="G66" s="202">
        <v>44370</v>
      </c>
      <c r="H66" t="s">
        <v>6429</v>
      </c>
      <c r="I66" s="40" t="s">
        <v>6414</v>
      </c>
      <c r="L66" s="40" t="str">
        <f t="shared" si="2"/>
        <v>USD,20210623,243310,243340,240790,241790,1,1,1</v>
      </c>
    </row>
    <row r="67" spans="1:12">
      <c r="A67" s="268">
        <v>234810</v>
      </c>
      <c r="B67" s="268">
        <v>234690</v>
      </c>
      <c r="C67" s="268">
        <v>243140</v>
      </c>
      <c r="D67" s="268">
        <v>242670</v>
      </c>
      <c r="E67">
        <v>1680</v>
      </c>
      <c r="F67" s="137">
        <v>7.0000000000000001E-3</v>
      </c>
      <c r="G67" s="202">
        <v>44369</v>
      </c>
      <c r="H67" t="s">
        <v>6430</v>
      </c>
      <c r="I67" s="40" t="s">
        <v>6414</v>
      </c>
      <c r="L67" s="40" t="str">
        <f t="shared" si="2"/>
        <v>USD,20210622,241190,243140,241190,242670,1,1,1</v>
      </c>
    </row>
    <row r="68" spans="1:12">
      <c r="A68" s="268">
        <v>244490</v>
      </c>
      <c r="B68" s="268">
        <v>234690</v>
      </c>
      <c r="C68" s="268">
        <v>241440</v>
      </c>
      <c r="D68" s="268">
        <v>240990</v>
      </c>
      <c r="E68">
        <v>1390</v>
      </c>
      <c r="F68" s="137">
        <v>5.7999999999999996E-3</v>
      </c>
      <c r="G68" s="202">
        <v>44368</v>
      </c>
      <c r="H68" t="s">
        <v>6431</v>
      </c>
      <c r="I68" s="40" t="s">
        <v>6414</v>
      </c>
      <c r="L68" s="40" t="str">
        <f t="shared" si="2"/>
        <v>USD,20210621,239940,241440,239190,240990,1,1,1</v>
      </c>
    </row>
    <row r="69" spans="1:12">
      <c r="A69" s="268">
        <v>242010</v>
      </c>
      <c r="B69" s="268">
        <v>241950</v>
      </c>
      <c r="C69" s="268">
        <v>240440</v>
      </c>
      <c r="D69" s="268">
        <v>239600</v>
      </c>
      <c r="E69">
        <v>4710</v>
      </c>
      <c r="F69" s="137">
        <v>2.01E-2</v>
      </c>
      <c r="G69" s="202">
        <v>44367</v>
      </c>
      <c r="H69" t="s">
        <v>6432</v>
      </c>
      <c r="I69" s="40" t="s">
        <v>6414</v>
      </c>
      <c r="L69" s="40" t="str">
        <f t="shared" si="2"/>
        <v>USD,20210620,234810,240440,234690,239600,1,1,1</v>
      </c>
    </row>
    <row r="70" spans="1:12">
      <c r="A70" s="268">
        <v>240470</v>
      </c>
      <c r="B70" s="268">
        <v>239450</v>
      </c>
      <c r="C70" s="268">
        <v>244640</v>
      </c>
      <c r="D70" s="268">
        <v>234890</v>
      </c>
      <c r="E70">
        <v>9400</v>
      </c>
      <c r="F70" s="353">
        <v>0.04</v>
      </c>
      <c r="G70" s="202">
        <v>44366</v>
      </c>
      <c r="H70" t="s">
        <v>6433</v>
      </c>
      <c r="I70" s="40" t="s">
        <v>6414</v>
      </c>
      <c r="L70" s="40" t="str">
        <f t="shared" si="2"/>
        <v>USD,20210619,244490,244640,234690,234890,1,1,1</v>
      </c>
    </row>
    <row r="71" spans="1:12">
      <c r="A71" s="268">
        <v>239970</v>
      </c>
      <c r="B71" s="268">
        <v>239950</v>
      </c>
      <c r="C71" s="268">
        <v>244640</v>
      </c>
      <c r="D71" s="268">
        <v>244290</v>
      </c>
      <c r="E71">
        <v>2540</v>
      </c>
      <c r="F71" s="137">
        <v>1.0500000000000001E-2</v>
      </c>
      <c r="G71" s="202">
        <v>44364</v>
      </c>
      <c r="H71" t="s">
        <v>6434</v>
      </c>
      <c r="I71" s="40" t="s">
        <v>6414</v>
      </c>
      <c r="L71" s="40" t="str">
        <f t="shared" si="2"/>
        <v>USD,20210617,242010,244640,241950,244290,1,1,1</v>
      </c>
    </row>
    <row r="72" spans="1:12">
      <c r="A72" s="268">
        <v>240970</v>
      </c>
      <c r="B72" s="268">
        <v>238550</v>
      </c>
      <c r="C72" s="268">
        <v>242250</v>
      </c>
      <c r="D72" s="268">
        <v>241750</v>
      </c>
      <c r="E72">
        <v>1260</v>
      </c>
      <c r="F72" s="137">
        <v>5.1999999999999998E-3</v>
      </c>
      <c r="G72" s="202">
        <v>44363</v>
      </c>
      <c r="H72" t="s">
        <v>6435</v>
      </c>
      <c r="I72" s="40" t="s">
        <v>6414</v>
      </c>
      <c r="L72" s="40" t="str">
        <f t="shared" si="2"/>
        <v>USD,20210616,240470,242250,239450,241750,1,1,1</v>
      </c>
    </row>
    <row r="73" spans="1:12">
      <c r="A73" s="268">
        <v>238970</v>
      </c>
      <c r="B73" s="268">
        <v>238940</v>
      </c>
      <c r="C73" s="268">
        <v>240050</v>
      </c>
      <c r="D73" s="268">
        <v>240490</v>
      </c>
      <c r="E73">
        <v>770</v>
      </c>
      <c r="F73" s="137">
        <v>3.2000000000000002E-3</v>
      </c>
      <c r="G73" s="202">
        <v>44362</v>
      </c>
      <c r="H73" t="s">
        <v>6436</v>
      </c>
      <c r="I73" s="40" t="s">
        <v>6414</v>
      </c>
      <c r="L73" s="40" t="str">
        <f t="shared" si="2"/>
        <v>USD,20210615,239970,240050,239950,240490,1,1,1</v>
      </c>
    </row>
    <row r="74" spans="1:12">
      <c r="A74" s="268">
        <v>236830</v>
      </c>
      <c r="B74" s="268">
        <v>236140</v>
      </c>
      <c r="C74" s="268">
        <v>241050</v>
      </c>
      <c r="D74" s="268">
        <v>239720</v>
      </c>
      <c r="E74">
        <v>1310</v>
      </c>
      <c r="F74" s="137">
        <v>5.4999999999999997E-3</v>
      </c>
      <c r="G74" s="202">
        <v>44361</v>
      </c>
      <c r="H74" t="s">
        <v>6437</v>
      </c>
      <c r="I74" s="40" t="s">
        <v>6414</v>
      </c>
      <c r="L74" s="40" t="str">
        <f t="shared" si="2"/>
        <v>USD,20210614,240970,241050,238550,239720,1,1,1</v>
      </c>
    </row>
    <row r="75" spans="1:12">
      <c r="A75" s="268">
        <v>240010</v>
      </c>
      <c r="B75" s="268">
        <v>239140</v>
      </c>
      <c r="C75" s="268">
        <v>241250</v>
      </c>
      <c r="D75" s="268">
        <v>241030</v>
      </c>
      <c r="E75">
        <v>3280</v>
      </c>
      <c r="F75" s="137">
        <v>1.38E-2</v>
      </c>
      <c r="G75" s="202">
        <v>44360</v>
      </c>
      <c r="H75" t="s">
        <v>6438</v>
      </c>
      <c r="I75" s="40" t="s">
        <v>6414</v>
      </c>
      <c r="L75" s="40" t="str">
        <f t="shared" si="2"/>
        <v>USD,20210613,238970,241250,238940,241030,1,1,1</v>
      </c>
    </row>
    <row r="76" spans="1:12">
      <c r="A76" s="268">
        <v>235480</v>
      </c>
      <c r="B76" s="268">
        <v>235440</v>
      </c>
      <c r="C76" s="268">
        <v>238350</v>
      </c>
      <c r="D76" s="268">
        <v>237750</v>
      </c>
      <c r="E76">
        <v>1480</v>
      </c>
      <c r="F76" s="137">
        <v>6.1999999999999998E-3</v>
      </c>
      <c r="G76" s="202">
        <v>44359</v>
      </c>
      <c r="H76" t="s">
        <v>6439</v>
      </c>
      <c r="I76" s="40" t="s">
        <v>6414</v>
      </c>
      <c r="L76" s="40" t="str">
        <f t="shared" si="2"/>
        <v>USD,20210612,236830,238350,236140,237750,1,1,1</v>
      </c>
    </row>
    <row r="77" spans="1:12">
      <c r="A77" s="268">
        <v>235890</v>
      </c>
      <c r="B77" s="268">
        <v>234820</v>
      </c>
      <c r="C77" s="268">
        <v>240450</v>
      </c>
      <c r="D77" s="268">
        <v>239230</v>
      </c>
      <c r="E77">
        <v>2210</v>
      </c>
      <c r="F77" s="137">
        <v>9.1999999999999998E-3</v>
      </c>
      <c r="G77" s="202">
        <v>44357</v>
      </c>
      <c r="H77" t="s">
        <v>6440</v>
      </c>
      <c r="I77" s="40" t="s">
        <v>6414</v>
      </c>
      <c r="L77" s="40" t="str">
        <f t="shared" si="2"/>
        <v>USD,20210610,240010,240450,239140,239230,1,1,1</v>
      </c>
    </row>
    <row r="78" spans="1:12">
      <c r="A78" s="268">
        <v>234340</v>
      </c>
      <c r="B78" s="268">
        <v>234240</v>
      </c>
      <c r="C78" s="268">
        <v>241550</v>
      </c>
      <c r="D78" s="268">
        <v>241440</v>
      </c>
      <c r="E78">
        <v>5950</v>
      </c>
      <c r="F78" s="137">
        <v>2.53E-2</v>
      </c>
      <c r="G78" s="202">
        <v>44356</v>
      </c>
      <c r="H78" t="s">
        <v>6441</v>
      </c>
      <c r="I78" s="40" t="s">
        <v>6414</v>
      </c>
      <c r="L78" s="40" t="str">
        <f t="shared" si="2"/>
        <v>USD,20210609,235480,241550,235440,241440,1,1,1</v>
      </c>
    </row>
    <row r="79" spans="1:12">
      <c r="A79" s="268">
        <v>234330</v>
      </c>
      <c r="B79" s="268">
        <v>233900</v>
      </c>
      <c r="C79" s="268">
        <v>235960</v>
      </c>
      <c r="D79" s="268">
        <v>235490</v>
      </c>
      <c r="E79">
        <v>460</v>
      </c>
      <c r="F79" s="137">
        <v>2E-3</v>
      </c>
      <c r="G79" s="202">
        <v>44355</v>
      </c>
      <c r="H79" t="s">
        <v>6442</v>
      </c>
      <c r="I79" s="40" t="s">
        <v>6414</v>
      </c>
      <c r="L79" s="40" t="str">
        <f t="shared" si="2"/>
        <v>USD,20210608,235890,235960,234820,235490,1,1,1</v>
      </c>
    </row>
    <row r="80" spans="1:12">
      <c r="A80" s="268">
        <v>234060</v>
      </c>
      <c r="B80" s="268">
        <v>228150</v>
      </c>
      <c r="C80" s="268">
        <v>235960</v>
      </c>
      <c r="D80" s="268">
        <v>235950</v>
      </c>
      <c r="E80">
        <v>1620</v>
      </c>
      <c r="F80" s="137">
        <v>6.8999999999999999E-3</v>
      </c>
      <c r="G80" s="202">
        <v>44354</v>
      </c>
      <c r="H80" t="s">
        <v>6443</v>
      </c>
      <c r="I80" s="40" t="s">
        <v>6414</v>
      </c>
      <c r="L80" s="40" t="str">
        <f t="shared" si="2"/>
        <v>USD,20210607,234340,235960,234240,235950,1,1,1</v>
      </c>
    </row>
    <row r="81" spans="1:12">
      <c r="A81" s="268">
        <v>234000</v>
      </c>
      <c r="B81" s="268">
        <v>233970</v>
      </c>
      <c r="C81" s="268">
        <v>234350</v>
      </c>
      <c r="D81" s="268">
        <v>234330</v>
      </c>
      <c r="E81">
        <v>90</v>
      </c>
      <c r="F81" s="137">
        <v>4.0000000000000002E-4</v>
      </c>
      <c r="G81" s="202">
        <v>44350</v>
      </c>
      <c r="H81" t="s">
        <v>6444</v>
      </c>
      <c r="I81" s="40" t="s">
        <v>6414</v>
      </c>
      <c r="L81" s="40" t="str">
        <f t="shared" si="2"/>
        <v>USD,20210603,234330,234350,233900,234330,1,1,1</v>
      </c>
    </row>
    <row r="82" spans="1:12">
      <c r="A82" s="268">
        <v>238590</v>
      </c>
      <c r="B82" s="268">
        <v>232950</v>
      </c>
      <c r="C82" s="268">
        <v>234360</v>
      </c>
      <c r="D82" s="268">
        <v>234240</v>
      </c>
      <c r="E82">
        <v>80</v>
      </c>
      <c r="F82" s="137">
        <v>2.9999999999999997E-4</v>
      </c>
      <c r="G82" s="202">
        <v>44349</v>
      </c>
      <c r="H82" t="s">
        <v>6445</v>
      </c>
      <c r="I82" s="40" t="s">
        <v>6414</v>
      </c>
      <c r="L82" s="40" t="str">
        <f t="shared" si="2"/>
        <v>USD,20210602,234060,234360,228150,234240,1,1,1</v>
      </c>
    </row>
    <row r="83" spans="1:12">
      <c r="A83" s="268">
        <v>234640</v>
      </c>
      <c r="B83" s="268">
        <v>234550</v>
      </c>
      <c r="C83" s="268">
        <v>238660</v>
      </c>
      <c r="D83" s="268">
        <v>234160</v>
      </c>
      <c r="E83">
        <v>100</v>
      </c>
      <c r="F83" s="137">
        <v>4.0000000000000002E-4</v>
      </c>
      <c r="G83" s="202">
        <v>44348</v>
      </c>
      <c r="H83" t="s">
        <v>6446</v>
      </c>
      <c r="I83" s="40" t="s">
        <v>6414</v>
      </c>
      <c r="L83" s="40" t="str">
        <f t="shared" si="2"/>
        <v>USD,20210601,234000,238660,233970,234160,1,1,1</v>
      </c>
    </row>
    <row r="84" spans="1:12">
      <c r="A84" s="268">
        <v>226560</v>
      </c>
      <c r="B84" s="268">
        <v>226460</v>
      </c>
      <c r="C84" s="268">
        <v>238660</v>
      </c>
      <c r="D84" s="268">
        <v>234060</v>
      </c>
      <c r="E84">
        <v>4510</v>
      </c>
      <c r="F84" s="137">
        <v>1.9300000000000001E-2</v>
      </c>
      <c r="G84" s="202">
        <v>44347</v>
      </c>
      <c r="H84" t="s">
        <v>6447</v>
      </c>
      <c r="I84" s="40" t="s">
        <v>6414</v>
      </c>
      <c r="L84" s="40" t="str">
        <f t="shared" si="2"/>
        <v>USD,20210531,238590,238660,232950,234060,1,1,1</v>
      </c>
    </row>
    <row r="85" spans="1:12">
      <c r="A85" s="268">
        <v>225260</v>
      </c>
      <c r="B85" s="268">
        <v>225170</v>
      </c>
      <c r="C85" s="268">
        <v>238660</v>
      </c>
      <c r="D85" s="268">
        <v>238570</v>
      </c>
      <c r="E85">
        <v>3910</v>
      </c>
      <c r="F85" s="137">
        <v>1.67E-2</v>
      </c>
      <c r="G85" s="202">
        <v>44346</v>
      </c>
      <c r="H85" t="s">
        <v>6448</v>
      </c>
      <c r="I85" s="40" t="s">
        <v>6414</v>
      </c>
      <c r="L85" s="40" t="str">
        <f t="shared" si="2"/>
        <v>USD,20210530,234640,238660,234550,238570,1,1,1</v>
      </c>
    </row>
    <row r="86" spans="1:12">
      <c r="A86" s="268">
        <v>224190</v>
      </c>
      <c r="B86" s="268">
        <v>224100</v>
      </c>
      <c r="C86" s="268">
        <v>234660</v>
      </c>
      <c r="D86" s="268">
        <v>234660</v>
      </c>
      <c r="E86" t="s">
        <v>6413</v>
      </c>
      <c r="F86" t="s">
        <v>6413</v>
      </c>
      <c r="G86" s="202">
        <v>44345</v>
      </c>
      <c r="H86" t="s">
        <v>6449</v>
      </c>
      <c r="I86" s="40" t="s">
        <v>6414</v>
      </c>
      <c r="L86" s="40" t="str">
        <f t="shared" si="2"/>
        <v>USD,20210529,226560,234660,226460,234660,1,1,1</v>
      </c>
    </row>
    <row r="87" spans="1:12">
      <c r="A87" s="268">
        <v>224120</v>
      </c>
      <c r="B87" s="268">
        <v>223150</v>
      </c>
      <c r="C87" s="268">
        <v>231470</v>
      </c>
      <c r="D87" s="268">
        <v>231470</v>
      </c>
      <c r="E87">
        <v>6310</v>
      </c>
      <c r="F87" s="137">
        <v>2.8000000000000001E-2</v>
      </c>
      <c r="G87" s="202">
        <v>44343</v>
      </c>
      <c r="H87" t="s">
        <v>6450</v>
      </c>
      <c r="I87" s="40" t="s">
        <v>6414</v>
      </c>
      <c r="L87" s="40" t="str">
        <f t="shared" si="2"/>
        <v>USD,20210527,225260,231470,225170,231470,1,1,1</v>
      </c>
    </row>
    <row r="88" spans="1:12">
      <c r="A88" s="268">
        <v>223590</v>
      </c>
      <c r="B88" s="268">
        <v>223490</v>
      </c>
      <c r="C88" s="268">
        <v>225270</v>
      </c>
      <c r="D88" s="268">
        <v>225160</v>
      </c>
      <c r="E88">
        <v>1060</v>
      </c>
      <c r="F88" s="137">
        <v>4.7000000000000002E-3</v>
      </c>
      <c r="G88" s="202">
        <v>44342</v>
      </c>
      <c r="H88" t="s">
        <v>6451</v>
      </c>
      <c r="I88" s="40" t="s">
        <v>6414</v>
      </c>
      <c r="L88" s="40" t="str">
        <f t="shared" si="2"/>
        <v>USD,20210526,224190,225270,224100,225160,1,1,1</v>
      </c>
    </row>
    <row r="89" spans="1:12">
      <c r="A89" s="268">
        <v>223440</v>
      </c>
      <c r="B89" s="268">
        <v>223390</v>
      </c>
      <c r="C89" s="268">
        <v>224430</v>
      </c>
      <c r="D89" s="268">
        <v>224100</v>
      </c>
      <c r="E89">
        <v>10</v>
      </c>
      <c r="F89" t="s">
        <v>6413</v>
      </c>
      <c r="G89" s="202">
        <v>44341</v>
      </c>
      <c r="H89" t="s">
        <v>6452</v>
      </c>
      <c r="I89" s="40" t="s">
        <v>6414</v>
      </c>
      <c r="L89" s="40" t="str">
        <f t="shared" si="2"/>
        <v>USD,20210525,224120,224430,223150,224100,1,1,1</v>
      </c>
    </row>
    <row r="90" spans="1:12">
      <c r="A90" s="268">
        <v>222980</v>
      </c>
      <c r="B90" s="268">
        <v>222930</v>
      </c>
      <c r="C90" s="268">
        <v>225110</v>
      </c>
      <c r="D90" s="268">
        <v>224110</v>
      </c>
      <c r="E90">
        <v>600</v>
      </c>
      <c r="F90" s="137">
        <v>2.7000000000000001E-3</v>
      </c>
      <c r="G90" s="202">
        <v>44340</v>
      </c>
      <c r="H90" t="s">
        <v>6453</v>
      </c>
      <c r="I90" s="40" t="s">
        <v>6414</v>
      </c>
      <c r="L90" s="40" t="str">
        <f t="shared" si="2"/>
        <v>USD,20210524,223590,225110,223490,224110,1,1,1</v>
      </c>
    </row>
    <row r="91" spans="1:12">
      <c r="A91" s="268">
        <v>223990</v>
      </c>
      <c r="B91" s="268">
        <v>222930</v>
      </c>
      <c r="C91" s="268">
        <v>223990</v>
      </c>
      <c r="D91" s="268">
        <v>223510</v>
      </c>
      <c r="E91">
        <v>20</v>
      </c>
      <c r="F91" s="137">
        <v>1E-4</v>
      </c>
      <c r="G91" s="202">
        <v>44339</v>
      </c>
      <c r="H91" t="s">
        <v>6454</v>
      </c>
      <c r="I91" s="40" t="s">
        <v>6414</v>
      </c>
      <c r="L91" s="40" t="str">
        <f t="shared" si="2"/>
        <v>USD,20210523,223440,223990,223390,223510,1,1,1</v>
      </c>
    </row>
    <row r="92" spans="1:12">
      <c r="A92" s="268">
        <v>225270</v>
      </c>
      <c r="B92" s="268">
        <v>221720</v>
      </c>
      <c r="C92" s="268">
        <v>223550</v>
      </c>
      <c r="D92" s="268">
        <v>223490</v>
      </c>
      <c r="E92">
        <v>490</v>
      </c>
      <c r="F92" s="137">
        <v>2.2000000000000001E-3</v>
      </c>
      <c r="G92" s="202">
        <v>44338</v>
      </c>
      <c r="H92" t="s">
        <v>6455</v>
      </c>
      <c r="I92" s="40" t="s">
        <v>6414</v>
      </c>
      <c r="L92" s="40" t="str">
        <f t="shared" si="2"/>
        <v>USD,20210522,222980,223550,222930,223490,1,1,1</v>
      </c>
    </row>
    <row r="93" spans="1:12">
      <c r="A93" s="268">
        <v>222240</v>
      </c>
      <c r="B93" s="268">
        <v>222140</v>
      </c>
      <c r="C93" s="268">
        <v>224020</v>
      </c>
      <c r="D93" s="268">
        <v>223000</v>
      </c>
      <c r="E93">
        <v>1210</v>
      </c>
      <c r="F93" s="137">
        <v>5.4999999999999997E-3</v>
      </c>
      <c r="G93" s="202">
        <v>44336</v>
      </c>
      <c r="H93" t="s">
        <v>6456</v>
      </c>
      <c r="I93" s="40" t="s">
        <v>6414</v>
      </c>
      <c r="L93" s="40" t="str">
        <f t="shared" si="2"/>
        <v>USD,20210520,223990,224020,222930,223000,1,1,1</v>
      </c>
    </row>
    <row r="94" spans="1:12">
      <c r="A94" s="268">
        <v>224160</v>
      </c>
      <c r="B94" s="268">
        <v>222140</v>
      </c>
      <c r="C94" s="268">
        <v>225380</v>
      </c>
      <c r="D94" s="268">
        <v>221790</v>
      </c>
      <c r="E94">
        <v>3550</v>
      </c>
      <c r="F94" s="137">
        <v>1.6E-2</v>
      </c>
      <c r="G94" s="202">
        <v>44335</v>
      </c>
      <c r="H94" t="s">
        <v>6457</v>
      </c>
      <c r="I94" s="40" t="s">
        <v>6414</v>
      </c>
      <c r="L94" s="40" t="str">
        <f t="shared" si="2"/>
        <v>USD,20210519,225270,225380,221720,221790,1,1,1</v>
      </c>
    </row>
    <row r="95" spans="1:12">
      <c r="A95" s="268">
        <v>220520</v>
      </c>
      <c r="B95" s="268">
        <v>220410</v>
      </c>
      <c r="C95" s="268">
        <v>225380</v>
      </c>
      <c r="D95" s="268">
        <v>225340</v>
      </c>
      <c r="E95">
        <v>3150</v>
      </c>
      <c r="F95" s="137">
        <v>1.4200000000000001E-2</v>
      </c>
      <c r="G95" s="202">
        <v>44334</v>
      </c>
      <c r="H95" t="s">
        <v>6459</v>
      </c>
      <c r="I95" s="40" t="s">
        <v>6414</v>
      </c>
      <c r="L95" s="40" t="str">
        <f t="shared" si="2"/>
        <v>USD,20210518,222240,225380,222140,225340,1,1,1</v>
      </c>
    </row>
    <row r="96" spans="1:12">
      <c r="A96" s="268">
        <v>220760</v>
      </c>
      <c r="B96" s="268">
        <v>220410</v>
      </c>
      <c r="C96" s="268">
        <v>225270</v>
      </c>
      <c r="D96" s="268">
        <v>222190</v>
      </c>
      <c r="E96">
        <v>1950</v>
      </c>
      <c r="F96" s="137">
        <v>8.8000000000000005E-3</v>
      </c>
      <c r="G96" s="202">
        <v>44333</v>
      </c>
      <c r="H96" t="s">
        <v>6460</v>
      </c>
      <c r="I96" s="40" t="s">
        <v>6414</v>
      </c>
      <c r="L96" s="40" t="str">
        <f t="shared" si="2"/>
        <v>USD,20210517,224160,225270,222140,222190,1,1,1</v>
      </c>
    </row>
    <row r="97" spans="1:12">
      <c r="A97" s="268">
        <v>219790</v>
      </c>
      <c r="B97" s="268">
        <v>216130</v>
      </c>
      <c r="C97" s="268">
        <v>224160</v>
      </c>
      <c r="D97" s="268">
        <v>224140</v>
      </c>
      <c r="E97">
        <v>3640</v>
      </c>
      <c r="F97" s="137">
        <v>1.6500000000000001E-2</v>
      </c>
      <c r="G97" s="202">
        <v>44332</v>
      </c>
      <c r="H97" t="s">
        <v>6461</v>
      </c>
      <c r="I97" s="40" t="s">
        <v>6414</v>
      </c>
      <c r="L97" s="40" t="str">
        <f t="shared" si="2"/>
        <v>USD,20210516,220520,224160,220410,224140,1,1,1</v>
      </c>
    </row>
    <row r="98" spans="1:12">
      <c r="A98" s="268">
        <v>221860</v>
      </c>
      <c r="B98" s="268">
        <v>219750</v>
      </c>
      <c r="C98" s="268">
        <v>221880</v>
      </c>
      <c r="D98" s="268">
        <v>220500</v>
      </c>
      <c r="E98">
        <v>4370</v>
      </c>
      <c r="F98" s="137">
        <v>2.0199999999999999E-2</v>
      </c>
      <c r="G98" s="202">
        <v>44331</v>
      </c>
      <c r="H98" t="s">
        <v>6462</v>
      </c>
      <c r="I98" s="40" t="s">
        <v>6414</v>
      </c>
      <c r="L98" s="40" t="str">
        <f t="shared" si="2"/>
        <v>USD,20210515,220760,221880,220410,220500,1,1,1</v>
      </c>
    </row>
    <row r="99" spans="1:12">
      <c r="A99" s="268">
        <v>216080</v>
      </c>
      <c r="B99" s="268">
        <v>216080</v>
      </c>
      <c r="C99" s="268">
        <v>219860</v>
      </c>
      <c r="D99" s="268">
        <v>216130</v>
      </c>
      <c r="E99">
        <v>3620</v>
      </c>
      <c r="F99" s="137">
        <v>1.67E-2</v>
      </c>
      <c r="G99" s="202">
        <v>44329</v>
      </c>
      <c r="H99" t="s">
        <v>6463</v>
      </c>
      <c r="I99" s="40" t="s">
        <v>6414</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6464</v>
      </c>
      <c r="I100" s="40" t="s">
        <v>6414</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6465</v>
      </c>
      <c r="I101" s="40" t="s">
        <v>6414</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6466</v>
      </c>
      <c r="I102" s="40" t="s">
        <v>6414</v>
      </c>
      <c r="L102" s="40" t="str">
        <f t="shared" si="2"/>
        <v>USD,20210510,207240,217040,207190,216130,1,1,1</v>
      </c>
    </row>
    <row r="103" spans="1:12">
      <c r="A103" s="268">
        <v>206440</v>
      </c>
      <c r="B103" s="268">
        <v>206370</v>
      </c>
      <c r="C103" s="268">
        <v>207300</v>
      </c>
      <c r="D103" s="268">
        <v>207260</v>
      </c>
      <c r="E103">
        <v>890</v>
      </c>
      <c r="F103" s="137">
        <v>4.3E-3</v>
      </c>
      <c r="G103" s="202">
        <v>44325</v>
      </c>
      <c r="H103" t="s">
        <v>6467</v>
      </c>
      <c r="I103" s="40" t="s">
        <v>6414</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6468</v>
      </c>
      <c r="I104" s="40" t="s">
        <v>6414</v>
      </c>
      <c r="L104" s="40" t="str">
        <f t="shared" si="2"/>
        <v>USD,20210508,206390,206480,206370,206370,1,1,1</v>
      </c>
    </row>
    <row r="105" spans="1:12">
      <c r="A105" s="268">
        <v>218430</v>
      </c>
      <c r="B105" s="268">
        <v>217260</v>
      </c>
      <c r="C105" s="268">
        <v>206480</v>
      </c>
      <c r="D105" s="268">
        <v>206480</v>
      </c>
      <c r="E105">
        <v>2970</v>
      </c>
      <c r="F105" s="137">
        <v>1.44E-2</v>
      </c>
      <c r="G105" s="202">
        <v>44322</v>
      </c>
      <c r="H105" t="s">
        <v>6469</v>
      </c>
      <c r="I105" s="40" t="s">
        <v>6414</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6470</v>
      </c>
      <c r="I106" s="40" t="s">
        <v>6414</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6471</v>
      </c>
      <c r="I107" s="40" t="s">
        <v>6414</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6472</v>
      </c>
      <c r="I108" s="40" t="s">
        <v>6414</v>
      </c>
      <c r="L108" s="40" t="str">
        <f t="shared" si="2"/>
        <v>USD,20210502,229110,229130,218380,218380,1,1,1</v>
      </c>
    </row>
    <row r="109" spans="1:12">
      <c r="A109" s="268">
        <v>232640</v>
      </c>
      <c r="B109" s="268">
        <v>232310</v>
      </c>
      <c r="C109" s="268">
        <v>232420</v>
      </c>
      <c r="D109" s="268">
        <v>229100</v>
      </c>
      <c r="E109">
        <v>3210</v>
      </c>
      <c r="F109" s="137">
        <v>1.4E-2</v>
      </c>
      <c r="G109" s="202">
        <v>44317</v>
      </c>
      <c r="H109" t="s">
        <v>6473</v>
      </c>
      <c r="I109" s="40" t="s">
        <v>6414</v>
      </c>
      <c r="L109" s="40" t="str">
        <f t="shared" si="2"/>
        <v>USD,20210501,232340,232420,229020,229100,1,1,1</v>
      </c>
    </row>
    <row r="110" spans="1:12">
      <c r="A110" s="268">
        <v>232770</v>
      </c>
      <c r="B110" s="268">
        <v>232540</v>
      </c>
      <c r="C110" s="268">
        <v>232420</v>
      </c>
      <c r="D110" s="268">
        <v>232310</v>
      </c>
      <c r="E110">
        <v>20</v>
      </c>
      <c r="F110" s="137">
        <v>1E-4</v>
      </c>
      <c r="G110" s="202">
        <v>44315</v>
      </c>
      <c r="H110" t="s">
        <v>6474</v>
      </c>
      <c r="I110" s="40" t="s">
        <v>6414</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6475</v>
      </c>
      <c r="I111" s="40" t="s">
        <v>6414</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6476</v>
      </c>
      <c r="I112" s="40" t="s">
        <v>6414</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6477</v>
      </c>
      <c r="I113" s="40" t="s">
        <v>6414</v>
      </c>
      <c r="L113" s="40" t="str">
        <f t="shared" si="2"/>
        <v>USD,20210426,233380,233390,232750,232760,1,1,1</v>
      </c>
    </row>
    <row r="114" spans="1:12">
      <c r="A114" s="268">
        <v>233750</v>
      </c>
      <c r="B114" s="268">
        <v>233280</v>
      </c>
      <c r="C114" s="268">
        <v>233390</v>
      </c>
      <c r="D114" s="268">
        <v>233390</v>
      </c>
      <c r="E114">
        <v>20</v>
      </c>
      <c r="F114" s="137">
        <v>1E-4</v>
      </c>
      <c r="G114" s="202">
        <v>44311</v>
      </c>
      <c r="H114" t="s">
        <v>6478</v>
      </c>
      <c r="I114" s="40" t="s">
        <v>6414</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6479</v>
      </c>
      <c r="I115" s="40" t="s">
        <v>6414</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6458</v>
      </c>
      <c r="I116" s="40" t="s">
        <v>6414</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6480</v>
      </c>
      <c r="I117" s="40" t="s">
        <v>6414</v>
      </c>
      <c r="L117" s="40" t="str">
        <f t="shared" si="2"/>
        <v>USD,20210421,233650,233750,233640,233690,1,1,1</v>
      </c>
    </row>
    <row r="118" spans="1:12">
      <c r="A118" s="268">
        <v>239900</v>
      </c>
      <c r="B118" s="268">
        <v>238750</v>
      </c>
      <c r="C118" s="268">
        <v>238280</v>
      </c>
      <c r="D118" s="268">
        <v>233740</v>
      </c>
      <c r="E118">
        <v>4430</v>
      </c>
      <c r="F118" s="137">
        <v>1.9E-2</v>
      </c>
      <c r="G118" s="202">
        <v>44306</v>
      </c>
      <c r="H118" t="s">
        <v>6481</v>
      </c>
      <c r="I118" s="40" t="s">
        <v>6414</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6482</v>
      </c>
      <c r="I119" s="40" t="s">
        <v>6414</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6483</v>
      </c>
      <c r="I120" s="40" t="s">
        <v>6414</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6484</v>
      </c>
      <c r="I121" s="40" t="s">
        <v>6414</v>
      </c>
      <c r="L121" s="40" t="str">
        <f t="shared" si="3"/>
        <v>USD,20210417,239930,240000,239860,239930,1,1,1</v>
      </c>
    </row>
    <row r="122" spans="1:12">
      <c r="A122" s="268">
        <v>243020</v>
      </c>
      <c r="B122" s="268">
        <v>240790</v>
      </c>
      <c r="C122" s="268">
        <v>241010</v>
      </c>
      <c r="D122" s="268">
        <v>239870</v>
      </c>
      <c r="E122">
        <v>2480</v>
      </c>
      <c r="F122" s="137">
        <v>1.03E-2</v>
      </c>
      <c r="G122" s="202">
        <v>44301</v>
      </c>
      <c r="H122" t="s">
        <v>6485</v>
      </c>
      <c r="I122" s="40" t="s">
        <v>6414</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6486</v>
      </c>
      <c r="I123" s="40" t="s">
        <v>6414</v>
      </c>
      <c r="L123" s="40" t="str">
        <f t="shared" si="3"/>
        <v>USD,20210414,240800,242390,240790,242350,1,1,1</v>
      </c>
    </row>
    <row r="124" spans="1:12">
      <c r="A124" s="268">
        <v>241950</v>
      </c>
      <c r="B124" s="268">
        <v>241860</v>
      </c>
      <c r="C124" s="268">
        <v>243060</v>
      </c>
      <c r="D124" s="268">
        <v>240900</v>
      </c>
      <c r="E124">
        <v>2060</v>
      </c>
      <c r="F124" s="137">
        <v>8.6E-3</v>
      </c>
      <c r="G124" s="202">
        <v>44299</v>
      </c>
      <c r="H124" t="s">
        <v>6487</v>
      </c>
      <c r="I124" s="40" t="s">
        <v>6414</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6488</v>
      </c>
      <c r="I125" s="40" t="s">
        <v>6414</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6489</v>
      </c>
      <c r="I126" s="40" t="s">
        <v>6414</v>
      </c>
      <c r="L126" s="40" t="str">
        <f t="shared" si="3"/>
        <v>USD,20210411,241950,243930,241860,242850,1,1,1</v>
      </c>
    </row>
    <row r="127" spans="1:12">
      <c r="A127" s="268">
        <v>247150</v>
      </c>
      <c r="B127" s="268">
        <v>244620</v>
      </c>
      <c r="C127" s="268">
        <v>243570</v>
      </c>
      <c r="D127" s="268">
        <v>241880</v>
      </c>
      <c r="E127">
        <v>2780</v>
      </c>
      <c r="F127" s="137">
        <v>1.15E-2</v>
      </c>
      <c r="G127" s="202">
        <v>44296</v>
      </c>
      <c r="H127" t="s">
        <v>6490</v>
      </c>
      <c r="I127" s="40" t="s">
        <v>6414</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6491</v>
      </c>
      <c r="I128" s="40" t="s">
        <v>6414</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6492</v>
      </c>
      <c r="I129" s="40" t="s">
        <v>6414</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6493</v>
      </c>
      <c r="I130" s="40" t="s">
        <v>6414</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6494</v>
      </c>
      <c r="I131" s="40" t="s">
        <v>6414</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6495</v>
      </c>
      <c r="I132" s="40" t="s">
        <v>6414</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6496</v>
      </c>
      <c r="I133" s="40" t="s">
        <v>6414</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6497</v>
      </c>
      <c r="I134" s="40" t="s">
        <v>6414</v>
      </c>
      <c r="L134" s="40" t="str">
        <f t="shared" si="3"/>
        <v>USD,20210401,252040,252100,251990,252100,1,1,1</v>
      </c>
    </row>
    <row r="135" spans="1:12">
      <c r="A135" s="268">
        <v>247510</v>
      </c>
      <c r="B135" s="268">
        <v>247470</v>
      </c>
      <c r="C135" s="268">
        <v>252550</v>
      </c>
      <c r="D135" s="268">
        <v>252040</v>
      </c>
      <c r="E135">
        <v>500</v>
      </c>
      <c r="F135" s="137">
        <v>2E-3</v>
      </c>
      <c r="G135" s="202">
        <v>44286</v>
      </c>
      <c r="H135" t="s">
        <v>6498</v>
      </c>
      <c r="I135" s="40" t="s">
        <v>6414</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6499</v>
      </c>
      <c r="I136" s="40" t="s">
        <v>6414</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6500</v>
      </c>
      <c r="I137" s="40" t="s">
        <v>6414</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6501</v>
      </c>
      <c r="I138" s="40" t="s">
        <v>6414</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6502</v>
      </c>
      <c r="I139" s="40" t="s">
        <v>6414</v>
      </c>
      <c r="L139" s="40" t="str">
        <f t="shared" si="3"/>
        <v>USD,20210318,240410,240430,239550,239630,1,1,1</v>
      </c>
    </row>
    <row r="140" spans="1:12">
      <c r="A140" s="268">
        <v>239200</v>
      </c>
      <c r="B140" s="268">
        <v>239100</v>
      </c>
      <c r="C140" s="268">
        <v>240950</v>
      </c>
      <c r="D140" s="268">
        <v>240400</v>
      </c>
      <c r="E140">
        <v>490</v>
      </c>
      <c r="F140" s="137">
        <v>2E-3</v>
      </c>
      <c r="G140" s="202">
        <v>44272</v>
      </c>
      <c r="H140" t="s">
        <v>6503</v>
      </c>
      <c r="I140" s="40" t="s">
        <v>6414</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6173</v>
      </c>
      <c r="I141" s="40" t="s">
        <v>6414</v>
      </c>
      <c r="L141" s="40" t="str">
        <f t="shared" si="3"/>
        <v>USD,20210316,239200,241380,239100,240890,1,1,1</v>
      </c>
    </row>
    <row r="142" spans="1:12">
      <c r="A142" s="268">
        <v>242400</v>
      </c>
      <c r="B142" s="268">
        <v>241770</v>
      </c>
      <c r="C142" s="268">
        <v>239210</v>
      </c>
      <c r="D142" s="268">
        <v>239170</v>
      </c>
      <c r="E142" t="s">
        <v>6413</v>
      </c>
      <c r="F142" t="s">
        <v>6413</v>
      </c>
      <c r="G142" s="202">
        <v>44270</v>
      </c>
      <c r="H142" t="s">
        <v>6176</v>
      </c>
      <c r="I142" s="40" t="s">
        <v>6414</v>
      </c>
      <c r="L142" s="40" t="str">
        <f t="shared" si="3"/>
        <v>USD,20210315,239200,239210,239100,239170,1,1,1</v>
      </c>
    </row>
    <row r="143" spans="1:12">
      <c r="A143" s="268">
        <v>242100</v>
      </c>
      <c r="B143" s="268">
        <v>241240</v>
      </c>
      <c r="C143" s="268">
        <v>241880</v>
      </c>
      <c r="D143" s="268">
        <v>239170</v>
      </c>
      <c r="E143">
        <v>2600</v>
      </c>
      <c r="F143" s="137">
        <v>1.09E-2</v>
      </c>
      <c r="G143" s="202">
        <v>44269</v>
      </c>
      <c r="H143" t="s">
        <v>6504</v>
      </c>
      <c r="I143" s="40" t="s">
        <v>6414</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6505</v>
      </c>
      <c r="I144" s="40" t="s">
        <v>6414</v>
      </c>
      <c r="L144" s="40" t="str">
        <f t="shared" si="3"/>
        <v>USD,20210313,242400,243850,241770,241770,1,1,1</v>
      </c>
    </row>
    <row r="145" spans="1:12">
      <c r="A145" s="268">
        <v>239960</v>
      </c>
      <c r="B145" s="268">
        <v>239850</v>
      </c>
      <c r="C145" s="268">
        <v>242710</v>
      </c>
      <c r="D145" s="268">
        <v>242420</v>
      </c>
      <c r="E145">
        <v>350</v>
      </c>
      <c r="F145" s="137">
        <v>1.4E-3</v>
      </c>
      <c r="G145" s="202">
        <v>44265</v>
      </c>
      <c r="H145" t="s">
        <v>6175</v>
      </c>
      <c r="I145" s="40" t="s">
        <v>6414</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6299</v>
      </c>
      <c r="I146" s="40" t="s">
        <v>6414</v>
      </c>
      <c r="L146" s="40" t="str">
        <f t="shared" si="3"/>
        <v>USD,20210309,243240,244280,241050,242070,1,1,1</v>
      </c>
    </row>
    <row r="147" spans="1:12">
      <c r="A147" s="268">
        <v>246580</v>
      </c>
      <c r="B147" s="268">
        <v>242700</v>
      </c>
      <c r="C147" s="268">
        <v>244610</v>
      </c>
      <c r="D147" s="268">
        <v>243210</v>
      </c>
      <c r="E147">
        <v>3310</v>
      </c>
      <c r="F147" s="137">
        <v>1.38E-2</v>
      </c>
      <c r="G147" s="202">
        <v>44263</v>
      </c>
      <c r="H147" t="s">
        <v>6506</v>
      </c>
      <c r="I147" s="40" t="s">
        <v>6414</v>
      </c>
      <c r="L147" s="40" t="str">
        <f t="shared" si="3"/>
        <v>USD,20210308,239960,244610,239850,243210,1,1,1</v>
      </c>
    </row>
    <row r="148" spans="1:12">
      <c r="A148" s="268">
        <v>246700</v>
      </c>
      <c r="B148" s="268">
        <v>246530</v>
      </c>
      <c r="C148" s="268">
        <v>242810</v>
      </c>
      <c r="D148" s="268">
        <v>239900</v>
      </c>
      <c r="E148">
        <v>2810</v>
      </c>
      <c r="F148" s="137">
        <v>1.17E-2</v>
      </c>
      <c r="G148" s="202">
        <v>44262</v>
      </c>
      <c r="H148" t="s">
        <v>6507</v>
      </c>
      <c r="I148" s="40" t="s">
        <v>6414</v>
      </c>
      <c r="L148" s="40" t="str">
        <f t="shared" si="3"/>
        <v>USD,20210307,242800,242810,239850,239900,1,1,1</v>
      </c>
    </row>
    <row r="149" spans="1:12">
      <c r="A149" s="268">
        <v>244330</v>
      </c>
      <c r="B149" s="268">
        <v>244330</v>
      </c>
      <c r="C149" s="268">
        <v>246770</v>
      </c>
      <c r="D149" s="268">
        <v>242710</v>
      </c>
      <c r="E149">
        <v>3900</v>
      </c>
      <c r="F149" s="137">
        <v>1.61E-2</v>
      </c>
      <c r="G149" s="202">
        <v>44261</v>
      </c>
      <c r="H149" t="s">
        <v>6508</v>
      </c>
      <c r="I149" s="40" t="s">
        <v>6414</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6509</v>
      </c>
      <c r="I150" s="40" t="s">
        <v>6414</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6510</v>
      </c>
      <c r="I151" s="40" t="s">
        <v>6414</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6511</v>
      </c>
      <c r="I152" s="40" t="s">
        <v>6414</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6512</v>
      </c>
      <c r="I153" s="40" t="s">
        <v>6414</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6513</v>
      </c>
      <c r="I154" s="40" t="s">
        <v>6414</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6514</v>
      </c>
      <c r="I155" s="40" t="s">
        <v>6414</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6515</v>
      </c>
      <c r="I156" s="40" t="s">
        <v>6414</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6516</v>
      </c>
      <c r="I157" s="40" t="s">
        <v>6414</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6517</v>
      </c>
      <c r="I158" s="40" t="s">
        <v>6414</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6518</v>
      </c>
      <c r="I159" s="40" t="s">
        <v>6414</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6519</v>
      </c>
      <c r="I160" s="40" t="s">
        <v>6414</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6520</v>
      </c>
      <c r="I161" s="40" t="s">
        <v>6414</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6521</v>
      </c>
      <c r="I162" s="40" t="s">
        <v>6414</v>
      </c>
      <c r="L162" s="40" t="str">
        <f t="shared" si="3"/>
        <v>USD,20210217,249780,251850,249740,251750,1,1,1</v>
      </c>
    </row>
    <row r="163" spans="1:12">
      <c r="A163" s="268">
        <v>249830</v>
      </c>
      <c r="B163" s="268">
        <v>249740</v>
      </c>
      <c r="C163" s="268">
        <v>249850</v>
      </c>
      <c r="D163" s="268">
        <v>249740</v>
      </c>
      <c r="E163" t="s">
        <v>6413</v>
      </c>
      <c r="F163" t="s">
        <v>6413</v>
      </c>
      <c r="G163" s="202">
        <v>44243</v>
      </c>
      <c r="H163" t="s">
        <v>6522</v>
      </c>
      <c r="I163" s="40" t="s">
        <v>6414</v>
      </c>
      <c r="L163" s="40" t="str">
        <f t="shared" si="3"/>
        <v>USD,20210216,249820,249850,249740,249740,1,1,1</v>
      </c>
    </row>
    <row r="164" spans="1:12">
      <c r="A164" s="268">
        <v>247040</v>
      </c>
      <c r="B164" s="268">
        <v>246940</v>
      </c>
      <c r="C164" s="268">
        <v>249850</v>
      </c>
      <c r="D164" s="268">
        <v>249740</v>
      </c>
      <c r="E164">
        <v>30</v>
      </c>
      <c r="F164" s="137">
        <v>1E-4</v>
      </c>
      <c r="G164" s="202">
        <v>44242</v>
      </c>
      <c r="H164" t="s">
        <v>6523</v>
      </c>
      <c r="I164" s="40" t="s">
        <v>6414</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6524</v>
      </c>
      <c r="I165" s="40" t="s">
        <v>6414</v>
      </c>
      <c r="L165" s="40" t="str">
        <f t="shared" si="3"/>
        <v>USD,20210214,249830,249850,249740,249770,1,1,1</v>
      </c>
    </row>
    <row r="166" spans="1:12">
      <c r="A166" s="268">
        <v>238970</v>
      </c>
      <c r="B166" s="268">
        <v>238940</v>
      </c>
      <c r="C166" s="268">
        <v>249850</v>
      </c>
      <c r="D166" s="268">
        <v>249810</v>
      </c>
      <c r="E166">
        <v>2850</v>
      </c>
      <c r="F166" s="137">
        <v>1.15E-2</v>
      </c>
      <c r="G166" s="202">
        <v>44240</v>
      </c>
      <c r="H166" t="s">
        <v>6525</v>
      </c>
      <c r="I166" s="40" t="s">
        <v>6414</v>
      </c>
      <c r="L166" s="40" t="str">
        <f t="shared" si="3"/>
        <v>USD,20210213,247040,249850,246940,249810,1,1,1</v>
      </c>
    </row>
    <row r="167" spans="1:12">
      <c r="A167" s="268">
        <v>237050</v>
      </c>
      <c r="B167" s="268">
        <v>236940</v>
      </c>
      <c r="C167" s="268">
        <v>247050</v>
      </c>
      <c r="D167" s="268">
        <v>246960</v>
      </c>
      <c r="E167">
        <v>5930</v>
      </c>
      <c r="F167" s="137">
        <v>2.46E-2</v>
      </c>
      <c r="G167" s="202">
        <v>44238</v>
      </c>
      <c r="H167" t="s">
        <v>6526</v>
      </c>
      <c r="I167" s="40" t="s">
        <v>6414</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6527</v>
      </c>
      <c r="I168" s="40" t="s">
        <v>6414</v>
      </c>
      <c r="L168" s="40" t="str">
        <f t="shared" si="3"/>
        <v>USD,20210209,238970,241050,238940,241030,1,1,1</v>
      </c>
    </row>
    <row r="169" spans="1:12">
      <c r="A169" s="268">
        <v>237520</v>
      </c>
      <c r="B169" s="268">
        <v>237440</v>
      </c>
      <c r="C169" s="268">
        <v>237050</v>
      </c>
      <c r="D169" s="268">
        <v>236940</v>
      </c>
      <c r="E169">
        <v>20</v>
      </c>
      <c r="F169" s="137">
        <v>1E-4</v>
      </c>
      <c r="G169" s="202">
        <v>44235</v>
      </c>
      <c r="H169" t="s">
        <v>6528</v>
      </c>
      <c r="I169" s="40" t="s">
        <v>6414</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6529</v>
      </c>
      <c r="I170" s="40" t="s">
        <v>6414</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6530</v>
      </c>
      <c r="I171" s="40" t="s">
        <v>6414</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6531</v>
      </c>
      <c r="I172" s="40" t="s">
        <v>6414</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6532</v>
      </c>
      <c r="I173" s="40" t="s">
        <v>6414</v>
      </c>
      <c r="L173" s="40" t="str">
        <f t="shared" si="3"/>
        <v>USD,20210203,238680,238750,237640,237660,1,1,1</v>
      </c>
    </row>
    <row r="174" spans="1:12">
      <c r="A174" s="268">
        <v>237180</v>
      </c>
      <c r="B174" s="268">
        <v>237140</v>
      </c>
      <c r="C174" s="268">
        <v>238750</v>
      </c>
      <c r="D174" s="268">
        <v>238710</v>
      </c>
      <c r="E174">
        <v>10</v>
      </c>
      <c r="F174" t="s">
        <v>6413</v>
      </c>
      <c r="G174" s="202">
        <v>44229</v>
      </c>
      <c r="H174" t="s">
        <v>6533</v>
      </c>
      <c r="I174" s="40" t="s">
        <v>6414</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6534</v>
      </c>
      <c r="I175" s="40" t="s">
        <v>6414</v>
      </c>
      <c r="L175" s="40" t="str">
        <f t="shared" si="3"/>
        <v>USD,20210201,239170,239170,238640,238720,1,1,1</v>
      </c>
    </row>
    <row r="176" spans="1:12">
      <c r="A176" s="268">
        <v>234070</v>
      </c>
      <c r="B176" s="268">
        <v>232040</v>
      </c>
      <c r="C176" s="268">
        <v>239250</v>
      </c>
      <c r="D176" s="268">
        <v>239210</v>
      </c>
      <c r="E176">
        <v>2040</v>
      </c>
      <c r="F176" s="137">
        <v>8.6E-3</v>
      </c>
      <c r="G176" s="202">
        <v>44227</v>
      </c>
      <c r="H176" t="s">
        <v>6535</v>
      </c>
      <c r="I176" s="40" t="s">
        <v>6414</v>
      </c>
      <c r="L176" s="40" t="str">
        <f t="shared" si="3"/>
        <v>USD,20210131,237180,239250,237140,239210,1,1,1</v>
      </c>
    </row>
    <row r="177" spans="1:12">
      <c r="A177" s="268">
        <v>229150</v>
      </c>
      <c r="B177" s="268">
        <v>229140</v>
      </c>
      <c r="C177" s="268">
        <v>237250</v>
      </c>
      <c r="D177" s="268">
        <v>237170</v>
      </c>
      <c r="E177">
        <v>5060</v>
      </c>
      <c r="F177" s="137">
        <v>2.18E-2</v>
      </c>
      <c r="G177" s="202">
        <v>44226</v>
      </c>
      <c r="H177" t="s">
        <v>6536</v>
      </c>
      <c r="I177" s="40" t="s">
        <v>6414</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6537</v>
      </c>
      <c r="I178" s="40" t="s">
        <v>6414</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6538</v>
      </c>
      <c r="I179" s="40" t="s">
        <v>6414</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6539</v>
      </c>
      <c r="I180" s="40" t="s">
        <v>6414</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6540</v>
      </c>
      <c r="I181" s="40" t="s">
        <v>6414</v>
      </c>
      <c r="L181" s="40" t="str">
        <f t="shared" si="3"/>
        <v>USD,20210125,224250,229750,224240,229660,1,1,1</v>
      </c>
    </row>
    <row r="182" spans="1:12">
      <c r="A182" s="268">
        <v>226510</v>
      </c>
      <c r="B182" s="268">
        <v>226440</v>
      </c>
      <c r="C182" s="268">
        <v>224350</v>
      </c>
      <c r="D182" s="268">
        <v>224340</v>
      </c>
      <c r="E182">
        <v>20</v>
      </c>
      <c r="F182" s="137">
        <v>1E-4</v>
      </c>
      <c r="G182" s="202">
        <v>44220</v>
      </c>
      <c r="H182" t="s">
        <v>6541</v>
      </c>
      <c r="I182" s="40" t="s">
        <v>6414</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6542</v>
      </c>
      <c r="I183" s="40" t="s">
        <v>6414</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6543</v>
      </c>
      <c r="I184" s="40" t="s">
        <v>6414</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6544</v>
      </c>
      <c r="I185" s="40" t="s">
        <v>6414</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6545</v>
      </c>
      <c r="I186" s="40" t="s">
        <v>6414</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6546</v>
      </c>
      <c r="I187" s="40" t="s">
        <v>6414</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6547</v>
      </c>
      <c r="I188" s="40" t="s">
        <v>6414</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6548</v>
      </c>
      <c r="I189" s="40" t="s">
        <v>6414</v>
      </c>
      <c r="L189" s="40" t="str">
        <f t="shared" si="4"/>
        <v>USD,20210114,242870,242950,239440,239530,1,1,1</v>
      </c>
    </row>
    <row r="190" spans="1:12">
      <c r="A190" s="268">
        <v>248450</v>
      </c>
      <c r="B190" s="268">
        <v>248440</v>
      </c>
      <c r="C190" s="268">
        <v>248550</v>
      </c>
      <c r="D190" s="268">
        <v>244980</v>
      </c>
      <c r="E190">
        <v>3460</v>
      </c>
      <c r="F190" s="137">
        <v>1.41E-2</v>
      </c>
      <c r="G190" s="202">
        <v>44209</v>
      </c>
      <c r="H190" t="s">
        <v>6549</v>
      </c>
      <c r="I190" s="40" t="s">
        <v>6414</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6550</v>
      </c>
      <c r="I191" s="40" t="s">
        <v>6414</v>
      </c>
      <c r="L191" s="40" t="str">
        <f t="shared" si="4"/>
        <v>USD,20210112,248540,248550,248440,248440,1,1,1</v>
      </c>
    </row>
    <row r="192" spans="1:12">
      <c r="A192" s="268">
        <v>255550</v>
      </c>
      <c r="B192" s="268">
        <v>248640</v>
      </c>
      <c r="C192" s="268">
        <v>249550</v>
      </c>
      <c r="D192" s="268">
        <v>248490</v>
      </c>
      <c r="E192">
        <v>30</v>
      </c>
      <c r="F192" s="137">
        <v>1E-4</v>
      </c>
      <c r="G192" s="202">
        <v>44207</v>
      </c>
      <c r="H192" t="s">
        <v>6551</v>
      </c>
      <c r="I192" s="40" t="s">
        <v>6414</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6552</v>
      </c>
      <c r="I193" s="40" t="s">
        <v>6414</v>
      </c>
      <c r="L193" s="40" t="str">
        <f t="shared" si="4"/>
        <v>USD,20210110,248690,248690,245840,248520,1,1,1</v>
      </c>
    </row>
    <row r="194" spans="1:12">
      <c r="A194" s="268">
        <v>259030</v>
      </c>
      <c r="B194" s="268">
        <v>258440</v>
      </c>
      <c r="C194" s="268">
        <v>255550</v>
      </c>
      <c r="D194" s="268">
        <v>248660</v>
      </c>
      <c r="E194">
        <v>6850</v>
      </c>
      <c r="F194" s="137">
        <v>2.75E-2</v>
      </c>
      <c r="G194" s="202">
        <v>44205</v>
      </c>
      <c r="H194" t="s">
        <v>6553</v>
      </c>
      <c r="I194" s="40" t="s">
        <v>6414</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6554</v>
      </c>
      <c r="I195" s="40" t="s">
        <v>6414</v>
      </c>
      <c r="L195" s="40" t="str">
        <f t="shared" si="4"/>
        <v>USD,20210107,257530,257550,255440,255510,1,1,1</v>
      </c>
    </row>
    <row r="196" spans="1:12">
      <c r="A196" s="268">
        <v>255650</v>
      </c>
      <c r="B196" s="268">
        <v>255640</v>
      </c>
      <c r="C196" s="268">
        <v>259050</v>
      </c>
      <c r="D196" s="268">
        <v>258540</v>
      </c>
      <c r="E196">
        <v>480</v>
      </c>
      <c r="F196" s="137">
        <v>1.9E-3</v>
      </c>
      <c r="G196" s="202">
        <v>44202</v>
      </c>
      <c r="H196" t="s">
        <v>6555</v>
      </c>
      <c r="I196" s="40" t="s">
        <v>6414</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6556</v>
      </c>
      <c r="I197" s="40" t="s">
        <v>6414</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6301</v>
      </c>
      <c r="I198" s="40" t="s">
        <v>6414</v>
      </c>
      <c r="L198" s="40" t="str">
        <f t="shared" si="4"/>
        <v>USD,20210104,255650,257750,255640,257640,1,1,1</v>
      </c>
    </row>
    <row r="199" spans="1:12">
      <c r="A199" s="268">
        <v>257020</v>
      </c>
      <c r="B199" s="268">
        <v>256940</v>
      </c>
      <c r="C199" s="268">
        <v>256250</v>
      </c>
      <c r="D199" s="268">
        <v>255670</v>
      </c>
      <c r="E199">
        <v>520</v>
      </c>
      <c r="F199" s="137">
        <v>2E-3</v>
      </c>
      <c r="G199" s="202">
        <v>44199</v>
      </c>
      <c r="H199" t="s">
        <v>6557</v>
      </c>
      <c r="I199" s="40" t="s">
        <v>6414</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6558</v>
      </c>
      <c r="I200" s="40" t="s">
        <v>6414</v>
      </c>
      <c r="L200" s="40" t="str">
        <f t="shared" si="4"/>
        <v>USD,20210102,256990,257050,256140,256190,1,1,1</v>
      </c>
    </row>
    <row r="201" spans="1:12">
      <c r="A201" s="268">
        <v>257440</v>
      </c>
      <c r="B201" s="268">
        <v>256940</v>
      </c>
      <c r="C201" s="268">
        <v>257050</v>
      </c>
      <c r="D201" s="268">
        <v>257010</v>
      </c>
      <c r="E201">
        <v>30</v>
      </c>
      <c r="F201" s="137">
        <v>1E-4</v>
      </c>
      <c r="G201" s="202">
        <v>44196</v>
      </c>
      <c r="H201" t="s">
        <v>6559</v>
      </c>
      <c r="I201" s="40" t="s">
        <v>6414</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6560</v>
      </c>
      <c r="I202" s="40" t="s">
        <v>6414</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6561</v>
      </c>
      <c r="I203" s="40" t="s">
        <v>6414</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6562</v>
      </c>
      <c r="I204" s="40" t="s">
        <v>6414</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6563</v>
      </c>
      <c r="I205" s="40" t="s">
        <v>6414</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6564</v>
      </c>
      <c r="I206" s="40" t="s">
        <v>6414</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6565</v>
      </c>
      <c r="I207" s="40" t="s">
        <v>6414</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6566</v>
      </c>
      <c r="I208" s="40" t="s">
        <v>6414</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6567</v>
      </c>
      <c r="I209" s="40" t="s">
        <v>6414</v>
      </c>
      <c r="L209" s="40" t="str">
        <f t="shared" si="4"/>
        <v>USD,20201222,254460,255250,254440,255160,1,1,1</v>
      </c>
    </row>
    <row r="210" spans="1:12">
      <c r="A210" s="268">
        <v>257440</v>
      </c>
      <c r="B210" s="268">
        <v>254940</v>
      </c>
      <c r="C210" s="268">
        <v>254550</v>
      </c>
      <c r="D210" s="268">
        <v>254470</v>
      </c>
      <c r="E210">
        <v>510</v>
      </c>
      <c r="F210" s="137">
        <v>2E-3</v>
      </c>
      <c r="G210" s="202">
        <v>44186</v>
      </c>
      <c r="H210" t="s">
        <v>6568</v>
      </c>
      <c r="I210" s="40" t="s">
        <v>6414</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6174</v>
      </c>
      <c r="I211" s="40" t="s">
        <v>6414</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6569</v>
      </c>
      <c r="I212" s="40" t="s">
        <v>6414</v>
      </c>
      <c r="L212" s="40" t="str">
        <f t="shared" si="4"/>
        <v>USD,20201219,257440,257550,254940,254990,1,1,1</v>
      </c>
    </row>
    <row r="213" spans="1:12">
      <c r="A213" s="268">
        <v>256960</v>
      </c>
      <c r="B213" s="268">
        <v>256440</v>
      </c>
      <c r="C213" s="268">
        <v>258050</v>
      </c>
      <c r="D213" s="268">
        <v>258020</v>
      </c>
      <c r="E213">
        <v>10</v>
      </c>
      <c r="F213" t="s">
        <v>6413</v>
      </c>
      <c r="G213" s="202">
        <v>44182</v>
      </c>
      <c r="H213" t="s">
        <v>6570</v>
      </c>
      <c r="I213" s="40" t="s">
        <v>6414</v>
      </c>
      <c r="L213" s="40" t="str">
        <f t="shared" si="4"/>
        <v>USD,20201217,258040,258050,257940,258020,1,1,1</v>
      </c>
    </row>
    <row r="214" spans="1:12">
      <c r="A214" s="268">
        <v>257980</v>
      </c>
      <c r="B214" s="268">
        <v>256940</v>
      </c>
      <c r="C214" s="268">
        <v>259550</v>
      </c>
      <c r="D214" s="268">
        <v>258030</v>
      </c>
      <c r="E214">
        <v>510</v>
      </c>
      <c r="F214" s="137">
        <v>2E-3</v>
      </c>
      <c r="G214" s="202">
        <v>44181</v>
      </c>
      <c r="H214" t="s">
        <v>6571</v>
      </c>
      <c r="I214" s="40" t="s">
        <v>6414</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6573</v>
      </c>
      <c r="I215" s="40" t="s">
        <v>6414</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6574</v>
      </c>
      <c r="I216" s="40" t="s">
        <v>6414</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6575</v>
      </c>
      <c r="I217" s="40" t="s">
        <v>6414</v>
      </c>
      <c r="L217" s="40" t="str">
        <f t="shared" si="4"/>
        <v>USD,20201213,259960,260050,257940,258040,1,1,1</v>
      </c>
    </row>
    <row r="218" spans="1:12">
      <c r="A218" s="268">
        <v>255970</v>
      </c>
      <c r="B218" s="268">
        <v>255940</v>
      </c>
      <c r="C218" s="268">
        <v>260750</v>
      </c>
      <c r="D218" s="268">
        <v>260050</v>
      </c>
      <c r="E218">
        <v>600</v>
      </c>
      <c r="F218" s="137">
        <v>2.3E-3</v>
      </c>
      <c r="G218" s="202">
        <v>44177</v>
      </c>
      <c r="H218" t="s">
        <v>6576</v>
      </c>
      <c r="I218" s="40" t="s">
        <v>6414</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6577</v>
      </c>
      <c r="I219" s="40" t="s">
        <v>6414</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6578</v>
      </c>
      <c r="I220" s="40" t="s">
        <v>6414</v>
      </c>
      <c r="L220" s="40" t="str">
        <f t="shared" si="4"/>
        <v>USD,20201209,255970,259850,255940,259770,1,1,1</v>
      </c>
    </row>
    <row r="221" spans="1:12">
      <c r="A221" s="268">
        <v>256950</v>
      </c>
      <c r="B221" s="268">
        <v>255940</v>
      </c>
      <c r="C221" s="268">
        <v>256050</v>
      </c>
      <c r="D221" s="268">
        <v>255940</v>
      </c>
      <c r="E221">
        <v>10</v>
      </c>
      <c r="F221" t="s">
        <v>6413</v>
      </c>
      <c r="G221" s="202">
        <v>44173</v>
      </c>
      <c r="H221" t="s">
        <v>6579</v>
      </c>
      <c r="I221" s="40" t="s">
        <v>6414</v>
      </c>
      <c r="L221" s="40" t="str">
        <f t="shared" si="4"/>
        <v>USD,20201208,255980,256050,255940,255940,1,1,1</v>
      </c>
    </row>
    <row r="222" spans="1:12">
      <c r="A222" s="268">
        <v>254710</v>
      </c>
      <c r="B222" s="268">
        <v>254670</v>
      </c>
      <c r="C222" s="268">
        <v>256050</v>
      </c>
      <c r="D222" s="268">
        <v>255950</v>
      </c>
      <c r="E222" t="s">
        <v>6413</v>
      </c>
      <c r="F222" t="s">
        <v>6413</v>
      </c>
      <c r="G222" s="202">
        <v>44172</v>
      </c>
      <c r="H222" t="s">
        <v>6580</v>
      </c>
      <c r="I222" s="40" t="s">
        <v>6414</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6581</v>
      </c>
      <c r="I223" s="40" t="s">
        <v>6414</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6582</v>
      </c>
      <c r="I224" s="40" t="s">
        <v>6414</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6583</v>
      </c>
      <c r="I225" s="40" t="s">
        <v>6414</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6584</v>
      </c>
      <c r="I226" s="40" t="s">
        <v>6414</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6585</v>
      </c>
      <c r="I227" s="40" t="s">
        <v>6414</v>
      </c>
      <c r="L227" s="40" t="str">
        <f t="shared" si="4"/>
        <v>USD,20201201,250070,256270,245160,256160,1,1,1</v>
      </c>
    </row>
    <row r="228" spans="1:12">
      <c r="A228" s="268">
        <v>247560</v>
      </c>
      <c r="B228" s="268">
        <v>247460</v>
      </c>
      <c r="C228" s="268">
        <v>253050</v>
      </c>
      <c r="D228" s="268">
        <v>250030</v>
      </c>
      <c r="E228">
        <v>4520</v>
      </c>
      <c r="F228" s="137">
        <v>1.84E-2</v>
      </c>
      <c r="G228" s="202">
        <v>44165</v>
      </c>
      <c r="H228" t="s">
        <v>6586</v>
      </c>
      <c r="I228" s="40" t="s">
        <v>6414</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6587</v>
      </c>
      <c r="I229" s="40" t="s">
        <v>6414</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6588</v>
      </c>
      <c r="I230" s="40" t="s">
        <v>6414</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6589</v>
      </c>
      <c r="I231" s="40" t="s">
        <v>6414</v>
      </c>
      <c r="L231" s="40" t="str">
        <f t="shared" si="4"/>
        <v>USD,20201126,248500,248570,247460,247570,1,1,1</v>
      </c>
    </row>
    <row r="232" spans="1:12">
      <c r="A232" s="268">
        <v>256030</v>
      </c>
      <c r="B232" s="268">
        <v>255450</v>
      </c>
      <c r="C232" s="268">
        <v>250570</v>
      </c>
      <c r="D232" s="268">
        <v>249500</v>
      </c>
      <c r="E232">
        <v>960</v>
      </c>
      <c r="F232" s="137">
        <v>3.8E-3</v>
      </c>
      <c r="G232" s="202">
        <v>44160</v>
      </c>
      <c r="H232" t="s">
        <v>6590</v>
      </c>
      <c r="I232" s="40" t="s">
        <v>6414</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6591</v>
      </c>
      <c r="I233" s="40" t="s">
        <v>6414</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6592</v>
      </c>
      <c r="I234" s="40" t="s">
        <v>6414</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6572</v>
      </c>
      <c r="I235" s="40" t="s">
        <v>6414</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6593</v>
      </c>
      <c r="I236" s="40" t="s">
        <v>6414</v>
      </c>
      <c r="L236" s="40" t="str">
        <f t="shared" si="4"/>
        <v>USD,20201121,256250,260560,256150,259550,1,1,1</v>
      </c>
    </row>
    <row r="237" spans="1:12">
      <c r="A237" s="268">
        <v>258960</v>
      </c>
      <c r="B237" s="268">
        <v>258950</v>
      </c>
      <c r="C237" s="268">
        <v>256260</v>
      </c>
      <c r="D237" s="268">
        <v>256200</v>
      </c>
      <c r="E237">
        <v>20</v>
      </c>
      <c r="F237" s="137">
        <v>1E-4</v>
      </c>
      <c r="G237" s="202">
        <v>44154</v>
      </c>
      <c r="H237" t="s">
        <v>6594</v>
      </c>
      <c r="I237" s="40" t="s">
        <v>6414</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6595</v>
      </c>
      <c r="I238" s="40" t="s">
        <v>6414</v>
      </c>
      <c r="L238" s="40" t="str">
        <f t="shared" si="4"/>
        <v>USD,20201118,259020,259020,256150,256220,1,1,1</v>
      </c>
    </row>
    <row r="239" spans="1:12">
      <c r="A239" s="268">
        <v>267480</v>
      </c>
      <c r="B239" s="268">
        <v>259950</v>
      </c>
      <c r="C239" s="268">
        <v>262060</v>
      </c>
      <c r="D239" s="268">
        <v>258970</v>
      </c>
      <c r="E239">
        <v>10</v>
      </c>
      <c r="F239" t="s">
        <v>6413</v>
      </c>
      <c r="G239" s="202">
        <v>44152</v>
      </c>
      <c r="H239" t="s">
        <v>6596</v>
      </c>
      <c r="I239" s="40" t="s">
        <v>6414</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6597</v>
      </c>
      <c r="I240" s="40" t="s">
        <v>6414</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6598</v>
      </c>
      <c r="I241" s="40" t="s">
        <v>6414</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6599</v>
      </c>
      <c r="I242" s="40" t="s">
        <v>6414</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6600</v>
      </c>
      <c r="I243" s="40" t="s">
        <v>6414</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6601</v>
      </c>
      <c r="I244" s="40" t="s">
        <v>6414</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6602</v>
      </c>
      <c r="I245" s="40" t="s">
        <v>6414</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6603</v>
      </c>
      <c r="I246" s="40" t="s">
        <v>6414</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6604</v>
      </c>
      <c r="I247" s="40" t="s">
        <v>6414</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6605</v>
      </c>
      <c r="I248" s="40" t="s">
        <v>6414</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6606</v>
      </c>
      <c r="I249" s="40" t="s">
        <v>6414</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6607</v>
      </c>
      <c r="I250" s="40" t="s">
        <v>6414</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6608</v>
      </c>
      <c r="I251" s="40" t="s">
        <v>6414</v>
      </c>
      <c r="L251" s="40" t="str">
        <f t="shared" si="5"/>
        <v>USD,20201102,272020,282460,271950,282420,1,1,1</v>
      </c>
    </row>
    <row r="252" spans="1:12">
      <c r="A252" s="268">
        <v>277460</v>
      </c>
      <c r="B252" s="268">
        <v>277450</v>
      </c>
      <c r="C252" s="268">
        <v>272060</v>
      </c>
      <c r="D252" s="268">
        <v>272060</v>
      </c>
      <c r="E252">
        <v>3340</v>
      </c>
      <c r="F252" s="137">
        <v>1.24E-2</v>
      </c>
      <c r="G252" s="202">
        <v>44136</v>
      </c>
      <c r="H252" t="s">
        <v>6609</v>
      </c>
      <c r="I252" s="40" t="s">
        <v>6414</v>
      </c>
      <c r="L252" s="40" t="str">
        <f t="shared" si="5"/>
        <v>USD,20201101,268670,272060,266950,272060,1,1,1</v>
      </c>
    </row>
    <row r="253" spans="1:12">
      <c r="A253" s="268">
        <v>282300</v>
      </c>
      <c r="B253" s="268">
        <v>278450</v>
      </c>
      <c r="C253" s="268">
        <v>277260</v>
      </c>
      <c r="D253" s="268">
        <v>268720</v>
      </c>
      <c r="E253">
        <v>8780</v>
      </c>
      <c r="F253" s="137">
        <v>3.27E-2</v>
      </c>
      <c r="G253" s="202">
        <v>44135</v>
      </c>
      <c r="H253" t="s">
        <v>6610</v>
      </c>
      <c r="I253" s="40" t="s">
        <v>6414</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6611</v>
      </c>
      <c r="I254" s="40" t="s">
        <v>6414</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6612</v>
      </c>
      <c r="I255" s="40" t="s">
        <v>6414</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6613</v>
      </c>
      <c r="I256" s="40" t="s">
        <v>6414</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6614</v>
      </c>
      <c r="I257" s="40" t="s">
        <v>6414</v>
      </c>
      <c r="L257" s="40" t="str">
        <f t="shared" si="5"/>
        <v>USD,20201026,289960,289990,279750,279860,1,1,1</v>
      </c>
    </row>
    <row r="258" spans="1:12">
      <c r="A258" s="268">
        <v>275470</v>
      </c>
      <c r="B258" s="268">
        <v>274450</v>
      </c>
      <c r="C258" s="268">
        <v>293860</v>
      </c>
      <c r="D258" s="268">
        <v>290000</v>
      </c>
      <c r="E258">
        <v>3750</v>
      </c>
      <c r="F258" s="137">
        <v>1.29E-2</v>
      </c>
      <c r="G258" s="202">
        <v>44128</v>
      </c>
      <c r="H258" t="s">
        <v>6615</v>
      </c>
      <c r="I258" s="40" t="s">
        <v>6414</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6616</v>
      </c>
      <c r="I259" s="40" t="s">
        <v>6414</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6617</v>
      </c>
      <c r="I260" s="40" t="s">
        <v>6414</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6618</v>
      </c>
      <c r="I261" s="40" t="s">
        <v>6414</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6619</v>
      </c>
      <c r="I262" s="40" t="s">
        <v>6414</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6620</v>
      </c>
      <c r="I263" s="40" t="s">
        <v>6414</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6621</v>
      </c>
      <c r="I264" s="40" t="s">
        <v>6414</v>
      </c>
      <c r="L264" s="40" t="str">
        <f t="shared" si="5"/>
        <v>USD,20201015,317000,317060,316950,317040,1,1,1</v>
      </c>
    </row>
    <row r="265" spans="1:12">
      <c r="A265" s="268">
        <v>311520</v>
      </c>
      <c r="B265" s="268">
        <v>301950</v>
      </c>
      <c r="C265" s="268">
        <v>315860</v>
      </c>
      <c r="D265" s="268">
        <v>315000</v>
      </c>
      <c r="E265">
        <v>1980</v>
      </c>
      <c r="F265" s="137">
        <v>6.3E-3</v>
      </c>
      <c r="G265" s="202">
        <v>44118</v>
      </c>
      <c r="H265" t="s">
        <v>6622</v>
      </c>
      <c r="I265" s="40" t="s">
        <v>6414</v>
      </c>
      <c r="L265" s="40" t="str">
        <f t="shared" si="5"/>
        <v>USD,20201014,312990,315860,312950,315000,1,1,1</v>
      </c>
    </row>
    <row r="266" spans="1:12">
      <c r="A266" s="268">
        <v>299480</v>
      </c>
      <c r="B266" s="268">
        <v>299450</v>
      </c>
      <c r="C266" s="268">
        <v>315060</v>
      </c>
      <c r="D266" s="268">
        <v>313020</v>
      </c>
      <c r="E266">
        <v>9060</v>
      </c>
      <c r="F266" s="137">
        <v>2.98E-2</v>
      </c>
      <c r="G266" s="202">
        <v>44117</v>
      </c>
      <c r="H266" t="s">
        <v>6623</v>
      </c>
      <c r="I266" s="40" t="s">
        <v>6414</v>
      </c>
      <c r="L266" s="40" t="str">
        <f t="shared" si="5"/>
        <v>USD,20201013,304040,315060,303950,313020,1,1,1</v>
      </c>
    </row>
    <row r="267" spans="1:12">
      <c r="A267" s="268">
        <v>291970</v>
      </c>
      <c r="B267" s="268">
        <v>291950</v>
      </c>
      <c r="C267" s="268">
        <v>311560</v>
      </c>
      <c r="D267" s="268">
        <v>303960</v>
      </c>
      <c r="E267">
        <v>7490</v>
      </c>
      <c r="F267" s="137">
        <v>2.46E-2</v>
      </c>
      <c r="G267" s="202">
        <v>44116</v>
      </c>
      <c r="H267" t="s">
        <v>6624</v>
      </c>
      <c r="I267" s="40" t="s">
        <v>6414</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6625</v>
      </c>
      <c r="I268" s="40" t="s">
        <v>6414</v>
      </c>
      <c r="L268" s="40" t="str">
        <f t="shared" si="5"/>
        <v>USD,20201011,299480,311560,299450,311450,1,1,1</v>
      </c>
    </row>
    <row r="269" spans="1:12">
      <c r="A269" s="268">
        <v>281970</v>
      </c>
      <c r="B269" s="268">
        <v>281950</v>
      </c>
      <c r="C269" s="268">
        <v>299560</v>
      </c>
      <c r="D269" s="268">
        <v>299560</v>
      </c>
      <c r="E269">
        <v>7540</v>
      </c>
      <c r="F269" s="137">
        <v>2.58E-2</v>
      </c>
      <c r="G269" s="202">
        <v>44114</v>
      </c>
      <c r="H269" t="s">
        <v>6626</v>
      </c>
      <c r="I269" s="40" t="s">
        <v>6414</v>
      </c>
      <c r="L269" s="40" t="str">
        <f t="shared" si="5"/>
        <v>USD,20201010,291970,299560,291950,299560,1,1,1</v>
      </c>
    </row>
    <row r="270" spans="1:12">
      <c r="A270" s="268">
        <v>269960</v>
      </c>
      <c r="B270" s="268">
        <v>269450</v>
      </c>
      <c r="C270" s="268">
        <v>292060</v>
      </c>
      <c r="D270" s="268">
        <v>292020</v>
      </c>
      <c r="E270">
        <v>20</v>
      </c>
      <c r="F270" s="137">
        <v>1E-4</v>
      </c>
      <c r="G270" s="202">
        <v>44111</v>
      </c>
      <c r="H270" t="s">
        <v>6627</v>
      </c>
      <c r="I270" s="40" t="s">
        <v>6414</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6628</v>
      </c>
      <c r="I271" s="40" t="s">
        <v>6414</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6629</v>
      </c>
      <c r="I272" s="40" t="s">
        <v>6414</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6630</v>
      </c>
      <c r="I273" s="40" t="s">
        <v>6414</v>
      </c>
      <c r="L273" s="40" t="str">
        <f t="shared" si="5"/>
        <v>USD,20201004,284550,284560,269950,269950,1,1,1</v>
      </c>
    </row>
    <row r="274" spans="1:12">
      <c r="A274" s="268">
        <v>285040</v>
      </c>
      <c r="B274" s="268">
        <v>284950</v>
      </c>
      <c r="C274" s="268">
        <v>289060</v>
      </c>
      <c r="D274" s="268">
        <v>284490</v>
      </c>
      <c r="E274">
        <v>4550</v>
      </c>
      <c r="F274" s="137">
        <v>1.6E-2</v>
      </c>
      <c r="G274" s="202">
        <v>44107</v>
      </c>
      <c r="H274" t="s">
        <v>6631</v>
      </c>
      <c r="I274" s="40" t="s">
        <v>6414</v>
      </c>
      <c r="L274" s="40" t="str">
        <f t="shared" si="5"/>
        <v>USD,20201003,289030,289060,284450,284490,1,1,1</v>
      </c>
    </row>
    <row r="275" spans="1:12">
      <c r="A275" s="268">
        <v>289450</v>
      </c>
      <c r="B275" s="268">
        <v>284950</v>
      </c>
      <c r="C275" s="268">
        <v>289060</v>
      </c>
      <c r="D275" s="268">
        <v>289040</v>
      </c>
      <c r="E275">
        <v>1520</v>
      </c>
      <c r="F275" s="137">
        <v>5.3E-3</v>
      </c>
      <c r="G275" s="202">
        <v>44105</v>
      </c>
      <c r="H275" t="s">
        <v>6633</v>
      </c>
      <c r="I275" s="40" t="s">
        <v>6414</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6634</v>
      </c>
      <c r="I276" s="40" t="s">
        <v>6414</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6635</v>
      </c>
      <c r="I277" s="40" t="s">
        <v>6414</v>
      </c>
      <c r="L277" s="40" t="str">
        <f t="shared" si="5"/>
        <v>USD,20200929,289450,289560,284950,285020,1,1,1</v>
      </c>
    </row>
    <row r="278" spans="1:12">
      <c r="A278" s="268">
        <v>278030</v>
      </c>
      <c r="B278" s="268">
        <v>277950</v>
      </c>
      <c r="C278" s="268">
        <v>289560</v>
      </c>
      <c r="D278" s="268">
        <v>289470</v>
      </c>
      <c r="E278">
        <v>2470</v>
      </c>
      <c r="F278" s="137">
        <v>8.6E-3</v>
      </c>
      <c r="G278" s="202">
        <v>44102</v>
      </c>
      <c r="H278" t="s">
        <v>6636</v>
      </c>
      <c r="I278" s="40" t="s">
        <v>6414</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6637</v>
      </c>
      <c r="I279" s="40" t="s">
        <v>6414</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6638</v>
      </c>
      <c r="I280" s="40" t="s">
        <v>6414</v>
      </c>
      <c r="L280" s="40" t="str">
        <f t="shared" si="5"/>
        <v>USD,20200926,278030,287560,277950,285060,1,1,1</v>
      </c>
    </row>
    <row r="281" spans="1:12">
      <c r="A281" s="268">
        <v>269480</v>
      </c>
      <c r="B281" s="268">
        <v>269450</v>
      </c>
      <c r="C281" s="268">
        <v>278060</v>
      </c>
      <c r="D281" s="268">
        <v>277970</v>
      </c>
      <c r="E281">
        <v>10</v>
      </c>
      <c r="F281" t="s">
        <v>6413</v>
      </c>
      <c r="G281" s="202">
        <v>44098</v>
      </c>
      <c r="H281" t="s">
        <v>6639</v>
      </c>
      <c r="I281" s="40" t="s">
        <v>6414</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6640</v>
      </c>
      <c r="I282" s="40" t="s">
        <v>6414</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6632</v>
      </c>
      <c r="I283" s="40" t="s">
        <v>6414</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6641</v>
      </c>
      <c r="I284" s="40" t="s">
        <v>6414</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6642</v>
      </c>
      <c r="I285" s="40" t="s">
        <v>6414</v>
      </c>
      <c r="L285" s="40" t="str">
        <f t="shared" si="5"/>
        <v>USD,20200920,264500,273060,264450,272980,1,1,1</v>
      </c>
    </row>
    <row r="286" spans="1:12">
      <c r="A286" s="268">
        <v>265980</v>
      </c>
      <c r="B286" s="268">
        <v>265950</v>
      </c>
      <c r="C286" s="268">
        <v>268060</v>
      </c>
      <c r="D286" s="268">
        <v>264480</v>
      </c>
      <c r="E286">
        <v>3490</v>
      </c>
      <c r="F286" s="137">
        <v>1.32E-2</v>
      </c>
      <c r="G286" s="202">
        <v>44093</v>
      </c>
      <c r="H286" t="s">
        <v>6643</v>
      </c>
      <c r="I286" s="40" t="s">
        <v>6414</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6644</v>
      </c>
      <c r="I287" s="40" t="s">
        <v>6414</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6645</v>
      </c>
      <c r="I288" s="40" t="s">
        <v>6414</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6646</v>
      </c>
      <c r="I289" s="40" t="s">
        <v>6414</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6320</v>
      </c>
      <c r="I290" s="40" t="s">
        <v>6414</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6647</v>
      </c>
      <c r="I291" s="40" t="s">
        <v>6414</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6648</v>
      </c>
      <c r="I292" s="40" t="s">
        <v>6414</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6649</v>
      </c>
      <c r="I293" s="40" t="s">
        <v>6414</v>
      </c>
      <c r="L293" s="40" t="str">
        <f t="shared" si="5"/>
        <v>USD,20200910,227910,228020,227910,228000,1,1,1</v>
      </c>
    </row>
    <row r="294" spans="1:12">
      <c r="A294" s="268">
        <v>225950</v>
      </c>
      <c r="B294" s="268">
        <v>225910</v>
      </c>
      <c r="C294" s="268">
        <v>227520</v>
      </c>
      <c r="D294" s="268">
        <v>227490</v>
      </c>
      <c r="E294">
        <v>30</v>
      </c>
      <c r="F294" s="137">
        <v>1E-4</v>
      </c>
      <c r="G294" s="202">
        <v>44083</v>
      </c>
      <c r="H294" t="s">
        <v>6650</v>
      </c>
      <c r="I294" s="40" t="s">
        <v>6414</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6651</v>
      </c>
      <c r="I295" s="40" t="s">
        <v>6414</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6652</v>
      </c>
      <c r="I296" s="40" t="s">
        <v>6414</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6653</v>
      </c>
      <c r="I297" s="40" t="s">
        <v>6414</v>
      </c>
      <c r="L297" s="40" t="str">
        <f t="shared" si="5"/>
        <v>USD,20200906,224450,226020,224410,226020,1,1,1</v>
      </c>
    </row>
    <row r="298" spans="1:12">
      <c r="A298" s="268">
        <v>229020</v>
      </c>
      <c r="B298" s="268">
        <v>226910</v>
      </c>
      <c r="C298" s="268">
        <v>224520</v>
      </c>
      <c r="D298" s="268">
        <v>224520</v>
      </c>
      <c r="E298" t="s">
        <v>6413</v>
      </c>
      <c r="F298" t="s">
        <v>6413</v>
      </c>
      <c r="G298" s="202">
        <v>44079</v>
      </c>
      <c r="H298" t="s">
        <v>6654</v>
      </c>
      <c r="I298" s="40" t="s">
        <v>6414</v>
      </c>
      <c r="L298" s="40" t="str">
        <f t="shared" si="5"/>
        <v>USD,20200905,224450,224520,224410,224520,1,1,1</v>
      </c>
    </row>
    <row r="299" spans="1:12">
      <c r="A299" s="268">
        <v>231430</v>
      </c>
      <c r="B299" s="268">
        <v>228910</v>
      </c>
      <c r="C299" s="268">
        <v>225020</v>
      </c>
      <c r="D299" s="268">
        <v>224520</v>
      </c>
      <c r="E299">
        <v>2440</v>
      </c>
      <c r="F299" s="137">
        <v>1.09E-2</v>
      </c>
      <c r="G299" s="202">
        <v>44077</v>
      </c>
      <c r="H299" t="s">
        <v>6655</v>
      </c>
      <c r="I299" s="40" t="s">
        <v>6414</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6656</v>
      </c>
      <c r="I300" s="40" t="s">
        <v>6414</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6657</v>
      </c>
      <c r="I301" s="40" t="s">
        <v>6414</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6658</v>
      </c>
      <c r="I302" s="40" t="s">
        <v>6414</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6659</v>
      </c>
      <c r="I303" s="40" t="s">
        <v>6414</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6660</v>
      </c>
      <c r="I304" s="40" t="s">
        <v>6414</v>
      </c>
      <c r="L304" s="40" t="str">
        <f t="shared" si="5"/>
        <v>USD,20200827,231020,231020,230910,231020,1,1,1</v>
      </c>
    </row>
    <row r="305" spans="1:12">
      <c r="A305" s="268">
        <v>225020</v>
      </c>
      <c r="B305" s="268">
        <v>224710</v>
      </c>
      <c r="C305" s="268">
        <v>230020</v>
      </c>
      <c r="D305" s="268">
        <v>229960</v>
      </c>
      <c r="E305">
        <v>5170</v>
      </c>
      <c r="F305" s="137">
        <v>2.3E-2</v>
      </c>
      <c r="G305" s="202">
        <v>44069</v>
      </c>
      <c r="H305" t="s">
        <v>6661</v>
      </c>
      <c r="I305" s="40" t="s">
        <v>6414</v>
      </c>
      <c r="L305" s="40" t="str">
        <f t="shared" si="5"/>
        <v>USD,20200826,224710,230020,224710,229960,1,1,1</v>
      </c>
    </row>
    <row r="306" spans="1:12">
      <c r="A306" s="268">
        <v>224940</v>
      </c>
      <c r="B306" s="268">
        <v>224910</v>
      </c>
      <c r="C306" s="268">
        <v>224820</v>
      </c>
      <c r="D306" s="268">
        <v>224790</v>
      </c>
      <c r="E306">
        <v>30</v>
      </c>
      <c r="F306" s="137">
        <v>1E-4</v>
      </c>
      <c r="G306" s="202">
        <v>44068</v>
      </c>
      <c r="H306" t="s">
        <v>6662</v>
      </c>
      <c r="I306" s="40" t="s">
        <v>6414</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6663</v>
      </c>
      <c r="I307" s="40" t="s">
        <v>6414</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6664</v>
      </c>
      <c r="I308" s="40" t="s">
        <v>6414</v>
      </c>
      <c r="L308" s="40" t="str">
        <f t="shared" si="5"/>
        <v>USD,20200823,224940,225020,224910,224970,1,1,1</v>
      </c>
    </row>
    <row r="309" spans="1:12">
      <c r="A309" s="268">
        <v>224960</v>
      </c>
      <c r="B309" s="268">
        <v>223910</v>
      </c>
      <c r="C309" s="268">
        <v>225020</v>
      </c>
      <c r="D309" s="268">
        <v>225020</v>
      </c>
      <c r="E309" t="s">
        <v>6413</v>
      </c>
      <c r="F309" t="s">
        <v>6413</v>
      </c>
      <c r="G309" s="202">
        <v>44065</v>
      </c>
      <c r="H309" t="s">
        <v>6665</v>
      </c>
      <c r="I309" s="40" t="s">
        <v>6414</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6666</v>
      </c>
      <c r="I310" s="40" t="s">
        <v>6414</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6667</v>
      </c>
      <c r="I311" s="40" t="s">
        <v>6414</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6668</v>
      </c>
      <c r="I312" s="40" t="s">
        <v>6414</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6669</v>
      </c>
      <c r="I313" s="40" t="s">
        <v>6414</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6670</v>
      </c>
      <c r="I314" s="40" t="s">
        <v>6414</v>
      </c>
      <c r="L314" s="40" t="str">
        <f t="shared" si="6"/>
        <v>USD,20200816,218970,219020,218910,219020,1,1,1</v>
      </c>
    </row>
    <row r="315" spans="1:12">
      <c r="A315" s="268">
        <v>216800</v>
      </c>
      <c r="B315" s="268">
        <v>216710</v>
      </c>
      <c r="C315" s="268">
        <v>220520</v>
      </c>
      <c r="D315" s="268">
        <v>220520</v>
      </c>
      <c r="E315">
        <v>20</v>
      </c>
      <c r="F315" s="137">
        <v>1E-4</v>
      </c>
      <c r="G315" s="202">
        <v>44058</v>
      </c>
      <c r="H315" t="s">
        <v>6671</v>
      </c>
      <c r="I315" s="40" t="s">
        <v>6414</v>
      </c>
      <c r="L315" s="40" t="str">
        <f t="shared" si="6"/>
        <v>USD,20200815,220520,220520,220410,220520,1,1,1</v>
      </c>
    </row>
    <row r="316" spans="1:12">
      <c r="A316" s="268">
        <v>209930</v>
      </c>
      <c r="B316" s="268">
        <v>209910</v>
      </c>
      <c r="C316" s="268">
        <v>220520</v>
      </c>
      <c r="D316" s="268">
        <v>220500</v>
      </c>
      <c r="E316">
        <v>2480</v>
      </c>
      <c r="F316" s="137">
        <v>1.14E-2</v>
      </c>
      <c r="G316" s="202">
        <v>44056</v>
      </c>
      <c r="H316" t="s">
        <v>6672</v>
      </c>
      <c r="I316" s="40" t="s">
        <v>6414</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6673</v>
      </c>
      <c r="I317" s="40" t="s">
        <v>6414</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6674</v>
      </c>
      <c r="I318" s="40" t="s">
        <v>6414</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6675</v>
      </c>
      <c r="I319" s="40" t="s">
        <v>6414</v>
      </c>
      <c r="L319" s="40" t="str">
        <f t="shared" si="6"/>
        <v>USD,20200810,217960,218020,207910,209910,1,1,1</v>
      </c>
    </row>
    <row r="320" spans="1:12">
      <c r="A320" s="268">
        <v>223020</v>
      </c>
      <c r="B320" s="268">
        <v>222910</v>
      </c>
      <c r="C320" s="268">
        <v>230020</v>
      </c>
      <c r="D320" s="268">
        <v>218020</v>
      </c>
      <c r="E320">
        <v>12000</v>
      </c>
      <c r="F320" s="137">
        <v>5.5E-2</v>
      </c>
      <c r="G320" s="202">
        <v>44052</v>
      </c>
      <c r="H320" t="s">
        <v>6676</v>
      </c>
      <c r="I320" s="40" t="s">
        <v>6414</v>
      </c>
      <c r="L320" s="40" t="str">
        <f t="shared" si="6"/>
        <v>USD,20200809,229980,230020,217910,218020,1,1,1</v>
      </c>
    </row>
    <row r="321" spans="1:12">
      <c r="A321" s="268">
        <v>219020</v>
      </c>
      <c r="B321" s="268">
        <v>218910</v>
      </c>
      <c r="C321" s="268">
        <v>230020</v>
      </c>
      <c r="D321" s="268">
        <v>230020</v>
      </c>
      <c r="E321">
        <v>3000</v>
      </c>
      <c r="F321" s="137">
        <v>1.32E-2</v>
      </c>
      <c r="G321" s="202">
        <v>44049</v>
      </c>
      <c r="H321" t="s">
        <v>6677</v>
      </c>
      <c r="I321" s="40" t="s">
        <v>6414</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6323</v>
      </c>
      <c r="I322" s="40" t="s">
        <v>6414</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6678</v>
      </c>
      <c r="I323" s="40" t="s">
        <v>6414</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6679</v>
      </c>
      <c r="I324" s="40" t="s">
        <v>6414</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6680</v>
      </c>
      <c r="I325" s="40" t="s">
        <v>6414</v>
      </c>
      <c r="L325" s="40" t="str">
        <f t="shared" si="6"/>
        <v>USD,20200802,212940,217020,212910,217020,1,1,1</v>
      </c>
    </row>
    <row r="326" spans="1:12">
      <c r="A326" s="268">
        <v>204930</v>
      </c>
      <c r="B326" s="268">
        <v>204910</v>
      </c>
      <c r="C326" s="268">
        <v>213020</v>
      </c>
      <c r="D326" s="268">
        <v>213020</v>
      </c>
      <c r="E326">
        <v>5000</v>
      </c>
      <c r="F326" s="137">
        <v>2.4E-2</v>
      </c>
      <c r="G326" s="202">
        <v>44044</v>
      </c>
      <c r="H326" t="s">
        <v>6681</v>
      </c>
      <c r="I326" s="40" t="s">
        <v>6414</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6682</v>
      </c>
      <c r="I327" s="40" t="s">
        <v>6414</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6683</v>
      </c>
      <c r="I328" s="40" t="s">
        <v>6414</v>
      </c>
      <c r="L328" s="40" t="str">
        <f t="shared" si="6"/>
        <v>USD,20200729,204930,205020,204910,204990,1,1,1</v>
      </c>
    </row>
    <row r="329" spans="1:12">
      <c r="A329" s="268">
        <v>202940</v>
      </c>
      <c r="B329" s="268">
        <v>202910</v>
      </c>
      <c r="C329" s="268">
        <v>205020</v>
      </c>
      <c r="D329" s="268">
        <v>204920</v>
      </c>
      <c r="E329">
        <v>10</v>
      </c>
      <c r="F329" t="s">
        <v>6413</v>
      </c>
      <c r="G329" s="202">
        <v>44040</v>
      </c>
      <c r="H329" t="s">
        <v>6684</v>
      </c>
      <c r="I329" s="40" t="s">
        <v>6414</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6685</v>
      </c>
      <c r="I330" s="40" t="s">
        <v>6414</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6686</v>
      </c>
      <c r="I331" s="40" t="s">
        <v>6414</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6687</v>
      </c>
      <c r="I332" s="40" t="s">
        <v>6414</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6688</v>
      </c>
      <c r="I333" s="40" t="s">
        <v>6414</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6689</v>
      </c>
      <c r="I334" s="40" t="s">
        <v>6414</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6690</v>
      </c>
      <c r="I335" s="40" t="s">
        <v>6414</v>
      </c>
      <c r="L335" s="40" t="str">
        <f t="shared" si="6"/>
        <v>USD,20200721,225920,226020,204410,204520,1,1,1</v>
      </c>
    </row>
    <row r="336" spans="1:12" ht="15.75" thickBot="1">
      <c r="A336" s="393">
        <v>283180</v>
      </c>
      <c r="B336" s="394">
        <v>283100</v>
      </c>
      <c r="C336" s="394">
        <v>284480</v>
      </c>
      <c r="D336" s="394">
        <v>284240</v>
      </c>
      <c r="E336" s="395">
        <v>580</v>
      </c>
      <c r="F336" s="396">
        <v>2E-3</v>
      </c>
      <c r="G336" s="397">
        <v>44511</v>
      </c>
      <c r="H336" s="398" t="s">
        <v>6800</v>
      </c>
      <c r="I336" s="40" t="s">
        <v>6414</v>
      </c>
      <c r="L336" s="40" t="str">
        <f t="shared" si="6"/>
        <v>USD,20211111,279840,284480,279700,284240,1,1,1</v>
      </c>
    </row>
    <row r="337" spans="1:12" ht="15.75" thickBot="1">
      <c r="A337" s="381">
        <v>281760</v>
      </c>
      <c r="B337" s="382">
        <v>281400</v>
      </c>
      <c r="C337" s="382">
        <v>283880</v>
      </c>
      <c r="D337" s="382">
        <v>283660</v>
      </c>
      <c r="E337" s="383">
        <v>2600</v>
      </c>
      <c r="F337" s="384">
        <v>9.2999999999999992E-3</v>
      </c>
      <c r="G337" s="385">
        <v>44510</v>
      </c>
      <c r="H337" s="386" t="s">
        <v>6801</v>
      </c>
      <c r="I337" s="40" t="s">
        <v>6414</v>
      </c>
      <c r="L337" s="40" t="str">
        <f t="shared" si="6"/>
        <v>USD,20211110,278010,283880,277200,283660,1,1,1</v>
      </c>
    </row>
    <row r="338" spans="1:12" ht="15.75" thickBot="1">
      <c r="A338" s="387">
        <v>280230</v>
      </c>
      <c r="B338" s="388">
        <v>280200</v>
      </c>
      <c r="C338" s="388">
        <v>281780</v>
      </c>
      <c r="D338" s="388">
        <v>281060</v>
      </c>
      <c r="E338" s="389">
        <v>820</v>
      </c>
      <c r="F338" s="390">
        <v>2.8999999999999998E-3</v>
      </c>
      <c r="G338" s="391">
        <v>44509</v>
      </c>
      <c r="H338" s="392" t="s">
        <v>6802</v>
      </c>
      <c r="I338" s="40" t="s">
        <v>6414</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4426</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4429</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4429</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4435</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4442</v>
      </c>
      <c r="B253" s="18">
        <v>12000000</v>
      </c>
      <c r="C253" s="18">
        <v>0</v>
      </c>
      <c r="D253" s="18">
        <f t="shared" si="18"/>
        <v>12000000</v>
      </c>
      <c r="E253" s="97" t="s">
        <v>4443</v>
      </c>
      <c r="F253" s="97">
        <v>1</v>
      </c>
      <c r="G253" s="36">
        <f t="shared" si="21"/>
        <v>111</v>
      </c>
      <c r="H253" s="97">
        <f t="shared" si="15"/>
        <v>1</v>
      </c>
      <c r="I253" s="97">
        <f t="shared" si="13"/>
        <v>1320000000</v>
      </c>
      <c r="J253" s="97">
        <f t="shared" si="20"/>
        <v>0</v>
      </c>
      <c r="K253" s="97">
        <f t="shared" si="17"/>
        <v>1320000000</v>
      </c>
    </row>
    <row r="254" spans="1:13">
      <c r="A254" s="97" t="s">
        <v>4444</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4446</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4447</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4447</v>
      </c>
      <c r="B257" s="18">
        <v>0</v>
      </c>
      <c r="C257" s="39">
        <v>-7968789</v>
      </c>
      <c r="D257" s="39">
        <f t="shared" si="18"/>
        <v>7968789</v>
      </c>
      <c r="E257" s="97" t="s">
        <v>4448</v>
      </c>
      <c r="F257" s="97">
        <v>1</v>
      </c>
      <c r="G257" s="36">
        <f t="shared" si="21"/>
        <v>108</v>
      </c>
      <c r="H257" s="97">
        <f t="shared" si="15"/>
        <v>0</v>
      </c>
      <c r="I257" s="97">
        <f t="shared" si="13"/>
        <v>0</v>
      </c>
      <c r="J257" s="97">
        <f t="shared" si="20"/>
        <v>-860629212</v>
      </c>
      <c r="K257" s="97">
        <f t="shared" si="17"/>
        <v>860629212</v>
      </c>
    </row>
    <row r="258" spans="1:13">
      <c r="A258" s="97" t="s">
        <v>4450</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4454</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4455</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4455</v>
      </c>
      <c r="B261" s="18">
        <v>-100500</v>
      </c>
      <c r="C261" s="18">
        <v>0</v>
      </c>
      <c r="D261" s="18">
        <f t="shared" si="18"/>
        <v>-100500</v>
      </c>
      <c r="E261" s="97" t="s">
        <v>4457</v>
      </c>
      <c r="F261" s="97">
        <v>0</v>
      </c>
      <c r="G261" s="36">
        <f t="shared" si="21"/>
        <v>103</v>
      </c>
      <c r="H261" s="97">
        <f t="shared" si="15"/>
        <v>0</v>
      </c>
      <c r="I261" s="97">
        <f t="shared" si="13"/>
        <v>-10351500</v>
      </c>
      <c r="J261" s="97">
        <f t="shared" si="20"/>
        <v>0</v>
      </c>
      <c r="K261" s="97">
        <f t="shared" si="17"/>
        <v>-10351500</v>
      </c>
    </row>
    <row r="262" spans="1:13">
      <c r="A262" s="97" t="s">
        <v>4455</v>
      </c>
      <c r="B262" s="18">
        <v>-68670</v>
      </c>
      <c r="C262" s="18">
        <v>0</v>
      </c>
      <c r="D262" s="18">
        <f t="shared" si="18"/>
        <v>-68670</v>
      </c>
      <c r="E262" s="97" t="s">
        <v>4461</v>
      </c>
      <c r="F262" s="97">
        <v>1</v>
      </c>
      <c r="G262" s="36">
        <f t="shared" si="21"/>
        <v>103</v>
      </c>
      <c r="H262" s="97">
        <f t="shared" si="15"/>
        <v>0</v>
      </c>
      <c r="I262" s="97">
        <f t="shared" si="13"/>
        <v>-7073010</v>
      </c>
      <c r="J262" s="97">
        <f t="shared" si="20"/>
        <v>0</v>
      </c>
      <c r="K262" s="97">
        <f t="shared" si="17"/>
        <v>-7073010</v>
      </c>
    </row>
    <row r="263" spans="1:13">
      <c r="A263" s="97" t="s">
        <v>4458</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4468</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4468</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4468</v>
      </c>
      <c r="B266" s="18">
        <v>-389000</v>
      </c>
      <c r="C266" s="18">
        <v>0</v>
      </c>
      <c r="D266" s="18">
        <f t="shared" si="18"/>
        <v>-389000</v>
      </c>
      <c r="E266" s="97" t="s">
        <v>4471</v>
      </c>
      <c r="F266" s="97">
        <v>4</v>
      </c>
      <c r="G266" s="36">
        <f t="shared" si="21"/>
        <v>100</v>
      </c>
      <c r="H266" s="97">
        <f t="shared" si="15"/>
        <v>0</v>
      </c>
      <c r="I266" s="97">
        <f t="shared" si="13"/>
        <v>-38900000</v>
      </c>
      <c r="J266" s="97">
        <f t="shared" si="20"/>
        <v>0</v>
      </c>
      <c r="K266" s="97">
        <f t="shared" si="17"/>
        <v>-38900000</v>
      </c>
      <c r="M266" t="s">
        <v>25</v>
      </c>
    </row>
    <row r="267" spans="1:13">
      <c r="A267" s="97" t="s">
        <v>4490</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4491</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4494</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4494</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4497</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4497</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4500</v>
      </c>
      <c r="B273" s="18">
        <v>-900000</v>
      </c>
      <c r="C273" s="18">
        <v>0</v>
      </c>
      <c r="D273" s="18">
        <f t="shared" si="18"/>
        <v>-900000</v>
      </c>
      <c r="E273" s="97" t="s">
        <v>4506</v>
      </c>
      <c r="F273" s="97">
        <v>1</v>
      </c>
      <c r="G273" s="36">
        <f t="shared" si="21"/>
        <v>92</v>
      </c>
      <c r="H273" s="97">
        <f t="shared" si="15"/>
        <v>0</v>
      </c>
      <c r="I273" s="97">
        <f t="shared" si="13"/>
        <v>-82800000</v>
      </c>
      <c r="J273" s="97">
        <f t="shared" si="20"/>
        <v>0</v>
      </c>
      <c r="K273" s="97">
        <f t="shared" si="17"/>
        <v>-82800000</v>
      </c>
    </row>
    <row r="274" spans="1:12">
      <c r="A274" s="97" t="s">
        <v>4503</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4503</v>
      </c>
      <c r="B275" s="18">
        <v>-1287000</v>
      </c>
      <c r="C275" s="18">
        <v>0</v>
      </c>
      <c r="D275" s="18">
        <f t="shared" si="18"/>
        <v>-1287000</v>
      </c>
      <c r="E275" s="97" t="s">
        <v>4504</v>
      </c>
      <c r="F275" s="97">
        <v>2</v>
      </c>
      <c r="G275" s="36">
        <f t="shared" si="21"/>
        <v>91</v>
      </c>
      <c r="H275" s="97">
        <f t="shared" si="15"/>
        <v>0</v>
      </c>
      <c r="I275" s="97">
        <f t="shared" si="13"/>
        <v>-117117000</v>
      </c>
      <c r="J275" s="97">
        <f t="shared" si="20"/>
        <v>0</v>
      </c>
      <c r="K275" s="97">
        <f t="shared" si="17"/>
        <v>-117117000</v>
      </c>
    </row>
    <row r="276" spans="1:12">
      <c r="A276" s="97" t="s">
        <v>4501</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4511</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4514</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4515</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4517</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4527</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4527</v>
      </c>
      <c r="B285" s="18">
        <v>-3995000</v>
      </c>
      <c r="C285" s="18">
        <v>0</v>
      </c>
      <c r="D285" s="18">
        <f t="shared" si="18"/>
        <v>-3995000</v>
      </c>
      <c r="E285" s="97" t="s">
        <v>4528</v>
      </c>
      <c r="F285" s="97">
        <v>3</v>
      </c>
      <c r="G285" s="36">
        <f t="shared" si="21"/>
        <v>78</v>
      </c>
      <c r="H285" s="97">
        <f t="shared" si="15"/>
        <v>0</v>
      </c>
      <c r="I285" s="97">
        <f t="shared" si="13"/>
        <v>-311610000</v>
      </c>
      <c r="J285" s="97">
        <f t="shared" si="22"/>
        <v>0</v>
      </c>
      <c r="K285" s="97">
        <f t="shared" si="23"/>
        <v>-311610000</v>
      </c>
    </row>
    <row r="286" spans="1:12">
      <c r="A286" s="97" t="s">
        <v>4536</v>
      </c>
      <c r="B286" s="18">
        <v>-2010700</v>
      </c>
      <c r="C286" s="18">
        <v>0</v>
      </c>
      <c r="D286" s="18">
        <f t="shared" si="18"/>
        <v>-2010700</v>
      </c>
      <c r="E286" s="97" t="s">
        <v>4539</v>
      </c>
      <c r="F286" s="97">
        <v>0</v>
      </c>
      <c r="G286" s="36">
        <f t="shared" si="21"/>
        <v>75</v>
      </c>
      <c r="H286" s="97">
        <f t="shared" si="15"/>
        <v>0</v>
      </c>
      <c r="I286" s="97">
        <f t="shared" si="13"/>
        <v>-150802500</v>
      </c>
      <c r="J286" s="97">
        <f t="shared" si="22"/>
        <v>0</v>
      </c>
      <c r="K286" s="97">
        <f t="shared" si="23"/>
        <v>-150802500</v>
      </c>
    </row>
    <row r="287" spans="1:12">
      <c r="A287" s="97" t="s">
        <v>4536</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4540</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4544</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4548</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4552</v>
      </c>
      <c r="B293" s="18">
        <v>-96850</v>
      </c>
      <c r="C293" s="18">
        <v>0</v>
      </c>
      <c r="D293" s="18">
        <f t="shared" si="18"/>
        <v>-96850</v>
      </c>
      <c r="E293" s="97" t="s">
        <v>4556</v>
      </c>
      <c r="F293" s="97">
        <v>2</v>
      </c>
      <c r="G293" s="36">
        <f t="shared" si="21"/>
        <v>67</v>
      </c>
      <c r="H293" s="97">
        <f t="shared" si="15"/>
        <v>0</v>
      </c>
      <c r="I293" s="97">
        <f t="shared" si="13"/>
        <v>-6488950</v>
      </c>
      <c r="J293" s="97">
        <f t="shared" si="22"/>
        <v>0</v>
      </c>
      <c r="K293" s="97">
        <f t="shared" si="23"/>
        <v>-6488950</v>
      </c>
    </row>
    <row r="294" spans="1:13">
      <c r="A294" s="97" t="s">
        <v>4558</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4569</v>
      </c>
      <c r="B296" s="18">
        <v>-200000</v>
      </c>
      <c r="C296" s="18">
        <v>0</v>
      </c>
      <c r="D296" s="18">
        <f t="shared" si="18"/>
        <v>-200000</v>
      </c>
      <c r="E296" s="97" t="s">
        <v>4570</v>
      </c>
      <c r="F296" s="97">
        <v>3</v>
      </c>
      <c r="G296" s="36">
        <f t="shared" si="21"/>
        <v>64</v>
      </c>
      <c r="H296" s="97">
        <f t="shared" si="15"/>
        <v>0</v>
      </c>
      <c r="I296" s="97">
        <f t="shared" si="13"/>
        <v>-12800000</v>
      </c>
      <c r="J296" s="97">
        <f t="shared" si="22"/>
        <v>0</v>
      </c>
      <c r="K296" s="97">
        <f t="shared" si="23"/>
        <v>-12800000</v>
      </c>
    </row>
    <row r="297" spans="1:13">
      <c r="A297" s="97" t="s">
        <v>4579</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4581</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4581</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4581</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4581</v>
      </c>
      <c r="B301" s="18">
        <v>-51400</v>
      </c>
      <c r="C301" s="18">
        <v>0</v>
      </c>
      <c r="D301" s="18">
        <f t="shared" si="18"/>
        <v>-51400</v>
      </c>
      <c r="E301" s="97" t="s">
        <v>4587</v>
      </c>
      <c r="F301" s="97">
        <v>1</v>
      </c>
      <c r="G301" s="36">
        <f t="shared" si="27"/>
        <v>60</v>
      </c>
      <c r="H301" s="97">
        <f t="shared" si="15"/>
        <v>0</v>
      </c>
      <c r="I301" s="97">
        <f t="shared" si="24"/>
        <v>-3084000</v>
      </c>
      <c r="J301" s="97">
        <f t="shared" si="25"/>
        <v>0</v>
      </c>
      <c r="K301" s="97">
        <f t="shared" si="26"/>
        <v>-3084000</v>
      </c>
    </row>
    <row r="302" spans="1:13">
      <c r="A302" s="97" t="s">
        <v>4590</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4590</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4600</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4600</v>
      </c>
      <c r="B305" s="18">
        <v>-276773</v>
      </c>
      <c r="C305" s="18">
        <v>0</v>
      </c>
      <c r="D305" s="18">
        <f t="shared" si="18"/>
        <v>-276773</v>
      </c>
      <c r="E305" s="97" t="s">
        <v>4602</v>
      </c>
      <c r="F305" s="97">
        <v>2</v>
      </c>
      <c r="G305" s="36">
        <f t="shared" si="27"/>
        <v>57</v>
      </c>
      <c r="H305" s="97">
        <f t="shared" si="15"/>
        <v>0</v>
      </c>
      <c r="I305" s="97">
        <f t="shared" si="24"/>
        <v>-15776061</v>
      </c>
      <c r="J305" s="97">
        <f t="shared" si="25"/>
        <v>0</v>
      </c>
      <c r="K305" s="97">
        <f t="shared" si="26"/>
        <v>-15776061</v>
      </c>
    </row>
    <row r="306" spans="1:13">
      <c r="A306" s="97" t="s">
        <v>4603</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4608</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4614</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4614</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4623</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4616</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4617</v>
      </c>
      <c r="B312" s="18">
        <v>-324747</v>
      </c>
      <c r="C312" s="18">
        <v>0</v>
      </c>
      <c r="D312" s="18">
        <f t="shared" si="18"/>
        <v>-324747</v>
      </c>
      <c r="E312" s="97" t="s">
        <v>4624</v>
      </c>
      <c r="F312" s="97">
        <v>3</v>
      </c>
      <c r="G312" s="36">
        <f t="shared" si="28"/>
        <v>44</v>
      </c>
      <c r="H312" s="97">
        <f t="shared" si="29"/>
        <v>0</v>
      </c>
      <c r="I312" s="97">
        <f t="shared" si="30"/>
        <v>-14288868</v>
      </c>
      <c r="J312" s="97">
        <f t="shared" si="31"/>
        <v>0</v>
      </c>
      <c r="K312" s="97">
        <f t="shared" si="32"/>
        <v>-14288868</v>
      </c>
      <c r="M312" t="s">
        <v>25</v>
      </c>
    </row>
    <row r="313" spans="1:13">
      <c r="A313" s="97" t="s">
        <v>4631</v>
      </c>
      <c r="B313" s="18">
        <v>-297992</v>
      </c>
      <c r="C313" s="18">
        <v>0</v>
      </c>
      <c r="D313" s="18">
        <f t="shared" si="18"/>
        <v>-297992</v>
      </c>
      <c r="E313" s="97" t="s">
        <v>4632</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4639</v>
      </c>
      <c r="B315" s="18">
        <v>-40000</v>
      </c>
      <c r="C315" s="18">
        <v>0</v>
      </c>
      <c r="D315" s="18">
        <f t="shared" si="18"/>
        <v>-40000</v>
      </c>
      <c r="E315" s="97" t="s">
        <v>4645</v>
      </c>
      <c r="F315" s="97">
        <v>4</v>
      </c>
      <c r="G315" s="36">
        <f t="shared" si="28"/>
        <v>38</v>
      </c>
      <c r="H315" s="97">
        <f t="shared" si="29"/>
        <v>0</v>
      </c>
      <c r="I315" s="97">
        <f t="shared" si="30"/>
        <v>-1520000</v>
      </c>
      <c r="J315" s="97">
        <f t="shared" si="31"/>
        <v>0</v>
      </c>
      <c r="K315" s="97">
        <f t="shared" si="32"/>
        <v>-1520000</v>
      </c>
    </row>
    <row r="316" spans="1:13">
      <c r="A316" s="97" t="s">
        <v>4650</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4667</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4673</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4673</v>
      </c>
      <c r="B319" s="18">
        <v>-1866154</v>
      </c>
      <c r="C319" s="18">
        <v>0</v>
      </c>
      <c r="D319" s="18">
        <f t="shared" si="18"/>
        <v>-1866154</v>
      </c>
      <c r="E319" s="19" t="s">
        <v>4679</v>
      </c>
      <c r="F319" s="97">
        <v>0</v>
      </c>
      <c r="G319" s="36">
        <f t="shared" si="28"/>
        <v>29</v>
      </c>
      <c r="H319" s="97">
        <f t="shared" si="29"/>
        <v>0</v>
      </c>
      <c r="I319" s="97">
        <f t="shared" si="30"/>
        <v>-54118466</v>
      </c>
      <c r="J319" s="97">
        <f t="shared" si="31"/>
        <v>0</v>
      </c>
      <c r="K319" s="97">
        <f t="shared" si="32"/>
        <v>-54118466</v>
      </c>
    </row>
    <row r="320" spans="1:13">
      <c r="A320" s="11" t="s">
        <v>4673</v>
      </c>
      <c r="B320" s="18">
        <v>-36600</v>
      </c>
      <c r="C320" s="18">
        <v>0</v>
      </c>
      <c r="D320" s="18">
        <f t="shared" si="18"/>
        <v>-36600</v>
      </c>
      <c r="E320" s="97" t="s">
        <v>4680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4681</v>
      </c>
      <c r="B321" s="18">
        <v>-492000</v>
      </c>
      <c r="C321" s="18">
        <v>0</v>
      </c>
      <c r="D321" s="18">
        <f t="shared" si="18"/>
        <v>-492000</v>
      </c>
      <c r="E321" s="97" t="s">
        <v>4682</v>
      </c>
      <c r="F321" s="97">
        <v>0</v>
      </c>
      <c r="G321" s="36">
        <f t="shared" si="33"/>
        <v>28</v>
      </c>
      <c r="H321" s="97">
        <f t="shared" si="34"/>
        <v>0</v>
      </c>
      <c r="I321" s="97">
        <f t="shared" si="35"/>
        <v>-13776000</v>
      </c>
      <c r="J321" s="97">
        <f t="shared" si="36"/>
        <v>0</v>
      </c>
      <c r="K321" s="97">
        <f t="shared" si="37"/>
        <v>-13776000</v>
      </c>
      <c r="M321" t="s">
        <v>25</v>
      </c>
    </row>
    <row r="322" spans="1:14">
      <c r="A322" s="97" t="s">
        <v>4681</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4681</v>
      </c>
      <c r="B323" s="18">
        <v>-40000</v>
      </c>
      <c r="C323" s="18">
        <v>0</v>
      </c>
      <c r="D323" s="18">
        <f t="shared" si="18"/>
        <v>-40000</v>
      </c>
      <c r="E323" s="97" t="s">
        <v>4684</v>
      </c>
      <c r="F323" s="97">
        <v>1</v>
      </c>
      <c r="G323" s="36">
        <f t="shared" si="33"/>
        <v>28</v>
      </c>
      <c r="H323" s="97">
        <f t="shared" si="34"/>
        <v>0</v>
      </c>
      <c r="I323" s="97">
        <f t="shared" si="35"/>
        <v>-1120000</v>
      </c>
      <c r="J323" s="97">
        <f t="shared" si="36"/>
        <v>0</v>
      </c>
      <c r="K323" s="97">
        <f t="shared" si="37"/>
        <v>-1120000</v>
      </c>
    </row>
    <row r="324" spans="1:14">
      <c r="A324" s="97" t="s">
        <v>4685</v>
      </c>
      <c r="B324" s="18">
        <v>-66000</v>
      </c>
      <c r="C324" s="18">
        <v>0</v>
      </c>
      <c r="D324" s="18">
        <f t="shared" si="18"/>
        <v>-66000</v>
      </c>
      <c r="E324" s="97" t="s">
        <v>4684</v>
      </c>
      <c r="F324" s="97">
        <v>1</v>
      </c>
      <c r="G324" s="36">
        <f t="shared" si="33"/>
        <v>27</v>
      </c>
      <c r="H324" s="97">
        <f t="shared" si="34"/>
        <v>0</v>
      </c>
      <c r="I324" s="97">
        <f t="shared" si="35"/>
        <v>-1782000</v>
      </c>
      <c r="J324" s="97">
        <f t="shared" si="36"/>
        <v>0</v>
      </c>
      <c r="K324" s="97">
        <f t="shared" si="37"/>
        <v>-1782000</v>
      </c>
    </row>
    <row r="325" spans="1:14">
      <c r="A325" s="97" t="s">
        <v>4686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4686</v>
      </c>
      <c r="B326" s="18">
        <v>-200500</v>
      </c>
      <c r="C326" s="18">
        <v>0</v>
      </c>
      <c r="D326" s="18">
        <f t="shared" si="18"/>
        <v>-200500</v>
      </c>
      <c r="E326" s="97" t="s">
        <v>4687</v>
      </c>
      <c r="F326" s="97">
        <v>2</v>
      </c>
      <c r="G326" s="36">
        <f t="shared" si="33"/>
        <v>26</v>
      </c>
      <c r="H326" s="97">
        <f t="shared" si="34"/>
        <v>0</v>
      </c>
      <c r="I326" s="97">
        <f t="shared" si="35"/>
        <v>-5213000</v>
      </c>
      <c r="J326" s="97">
        <f t="shared" si="36"/>
        <v>0</v>
      </c>
      <c r="K326" s="97">
        <f t="shared" si="37"/>
        <v>-5213000</v>
      </c>
      <c r="M326" t="s">
        <v>25</v>
      </c>
    </row>
    <row r="327" spans="1:14">
      <c r="A327" s="97" t="s">
        <v>4691</v>
      </c>
      <c r="B327" s="18">
        <v>1563000</v>
      </c>
      <c r="C327" s="18">
        <v>0</v>
      </c>
      <c r="D327" s="18">
        <f t="shared" si="18"/>
        <v>1563000</v>
      </c>
      <c r="E327" s="97" t="s">
        <v>4693</v>
      </c>
      <c r="F327" s="97">
        <v>0</v>
      </c>
      <c r="G327" s="36">
        <f t="shared" si="33"/>
        <v>24</v>
      </c>
      <c r="H327" s="97">
        <f t="shared" si="34"/>
        <v>1</v>
      </c>
      <c r="I327" s="97">
        <f t="shared" si="35"/>
        <v>35949000</v>
      </c>
      <c r="J327" s="97">
        <f t="shared" si="36"/>
        <v>0</v>
      </c>
      <c r="K327" s="97">
        <f t="shared" si="37"/>
        <v>35949000</v>
      </c>
    </row>
    <row r="328" spans="1:14">
      <c r="A328" s="97" t="s">
        <v>4691</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4700</v>
      </c>
      <c r="B329" s="18">
        <v>-20000</v>
      </c>
      <c r="C329" s="18">
        <v>0</v>
      </c>
      <c r="D329" s="18">
        <f t="shared" si="18"/>
        <v>-20000</v>
      </c>
      <c r="E329" s="97" t="s">
        <v>4703</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4712</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4717</v>
      </c>
      <c r="F331" s="97">
        <v>2</v>
      </c>
      <c r="G331" s="36">
        <f t="shared" si="33"/>
        <v>19</v>
      </c>
      <c r="H331" s="97">
        <f t="shared" si="34"/>
        <v>0</v>
      </c>
      <c r="I331" s="97">
        <f t="shared" si="35"/>
        <v>-15019500</v>
      </c>
      <c r="J331" s="97">
        <f t="shared" si="36"/>
        <v>0</v>
      </c>
      <c r="K331" s="97">
        <f t="shared" si="37"/>
        <v>-15019500</v>
      </c>
    </row>
    <row r="332" spans="1:14">
      <c r="A332" s="97" t="s">
        <v>4721</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4726</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4729</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4729</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4729</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4731</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4731</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4732</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4732</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4737</v>
      </c>
      <c r="B341" s="18">
        <v>433375</v>
      </c>
      <c r="C341" s="18">
        <v>0</v>
      </c>
      <c r="D341" s="18">
        <f t="shared" si="18"/>
        <v>433375</v>
      </c>
      <c r="E341" s="97" t="s">
        <v>4740</v>
      </c>
      <c r="F341" s="97">
        <v>1</v>
      </c>
      <c r="G341" s="36">
        <f>G342+F341</f>
        <v>11</v>
      </c>
      <c r="H341" s="97">
        <f>IF(B341&gt;0,1,0)</f>
        <v>1</v>
      </c>
      <c r="I341" s="97">
        <f>B341*(G341-H341)</f>
        <v>4333750</v>
      </c>
      <c r="J341" s="97">
        <f>C341*(G341-H341)</f>
        <v>0</v>
      </c>
      <c r="K341" s="97">
        <f>D341*(G341-H341)</f>
        <v>4333750</v>
      </c>
      <c r="M341" t="s">
        <v>25</v>
      </c>
    </row>
    <row r="342" spans="1:13">
      <c r="A342" s="97" t="s">
        <v>4746</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4746</v>
      </c>
      <c r="B343" s="18">
        <v>-300000</v>
      </c>
      <c r="C343" s="18">
        <v>0</v>
      </c>
      <c r="D343" s="18">
        <f t="shared" si="18"/>
        <v>-300000</v>
      </c>
      <c r="E343" s="97" t="s">
        <v>4748</v>
      </c>
      <c r="F343" s="97">
        <v>0</v>
      </c>
      <c r="G343" s="36">
        <f t="shared" si="38"/>
        <v>10</v>
      </c>
      <c r="H343" s="97">
        <f t="shared" si="39"/>
        <v>0</v>
      </c>
      <c r="I343" s="97">
        <f t="shared" si="40"/>
        <v>-3000000</v>
      </c>
      <c r="J343" s="97">
        <f t="shared" si="41"/>
        <v>0</v>
      </c>
      <c r="K343" s="97">
        <f t="shared" si="42"/>
        <v>-3000000</v>
      </c>
    </row>
    <row r="344" spans="1:13">
      <c r="A344" s="97" t="s">
        <v>4746</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4750</v>
      </c>
      <c r="F345" s="97">
        <v>3</v>
      </c>
      <c r="G345" s="36">
        <f t="shared" si="38"/>
        <v>9</v>
      </c>
      <c r="H345" s="97">
        <f t="shared" si="39"/>
        <v>0</v>
      </c>
      <c r="I345" s="97">
        <f t="shared" si="40"/>
        <v>-12759543</v>
      </c>
      <c r="J345" s="97">
        <f t="shared" si="41"/>
        <v>0</v>
      </c>
      <c r="K345" s="97">
        <f t="shared" si="42"/>
        <v>-12759543</v>
      </c>
      <c r="L345" t="s">
        <v>25</v>
      </c>
    </row>
    <row r="346" spans="1:13">
      <c r="A346" s="97" t="s">
        <v>4755</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4752</v>
      </c>
      <c r="B347" s="18">
        <v>-960200</v>
      </c>
      <c r="C347" s="18">
        <v>0</v>
      </c>
      <c r="D347" s="18">
        <f t="shared" si="18"/>
        <v>-960200</v>
      </c>
      <c r="E347" s="97" t="s">
        <v>4756</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4511</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4521</v>
      </c>
      <c r="B262" s="111">
        <v>-66500</v>
      </c>
      <c r="C262" s="97">
        <v>2</v>
      </c>
      <c r="D262" s="97">
        <f t="shared" si="8"/>
        <v>540</v>
      </c>
      <c r="E262" s="97">
        <f t="shared" si="10"/>
        <v>0</v>
      </c>
      <c r="F262" s="97">
        <f t="shared" si="9"/>
        <v>-35910000</v>
      </c>
      <c r="G262" s="97" t="s">
        <v>3946</v>
      </c>
      <c r="K262" t="s">
        <v>25</v>
      </c>
    </row>
    <row r="263" spans="1:11">
      <c r="A263" s="97" t="s">
        <v>4522</v>
      </c>
      <c r="B263" s="111">
        <v>-37878</v>
      </c>
      <c r="C263" s="97">
        <v>2</v>
      </c>
      <c r="D263" s="97">
        <f t="shared" si="8"/>
        <v>538</v>
      </c>
      <c r="E263" s="97">
        <f t="shared" si="10"/>
        <v>0</v>
      </c>
      <c r="F263" s="97">
        <f t="shared" si="9"/>
        <v>-20378364</v>
      </c>
      <c r="G263" s="97" t="s">
        <v>4523</v>
      </c>
      <c r="J263" t="s">
        <v>25</v>
      </c>
      <c r="K263" t="s">
        <v>25</v>
      </c>
    </row>
    <row r="264" spans="1:11">
      <c r="A264" s="97" t="s">
        <v>4518</v>
      </c>
      <c r="B264" s="111">
        <v>-41500</v>
      </c>
      <c r="C264" s="97">
        <v>3</v>
      </c>
      <c r="D264" s="97">
        <f t="shared" si="8"/>
        <v>536</v>
      </c>
      <c r="E264" s="97">
        <f t="shared" si="10"/>
        <v>0</v>
      </c>
      <c r="F264" s="97">
        <f t="shared" si="9"/>
        <v>-22244000</v>
      </c>
      <c r="G264" s="97" t="s">
        <v>1022</v>
      </c>
      <c r="J264" t="s">
        <v>25</v>
      </c>
    </row>
    <row r="265" spans="1:11">
      <c r="A265" s="97" t="s">
        <v>4543</v>
      </c>
      <c r="B265" s="111">
        <v>-190000</v>
      </c>
      <c r="C265" s="97">
        <v>1</v>
      </c>
      <c r="D265" s="97">
        <f t="shared" si="8"/>
        <v>533</v>
      </c>
      <c r="E265" s="97">
        <f t="shared" si="10"/>
        <v>0</v>
      </c>
      <c r="F265" s="97">
        <f t="shared" si="9"/>
        <v>-101270000</v>
      </c>
      <c r="G265" s="97"/>
    </row>
    <row r="266" spans="1:11">
      <c r="A266" s="97" t="s">
        <v>4542</v>
      </c>
      <c r="B266" s="111">
        <v>-55000</v>
      </c>
      <c r="C266" s="97">
        <v>1</v>
      </c>
      <c r="D266" s="97">
        <f t="shared" si="8"/>
        <v>532</v>
      </c>
      <c r="E266" s="97">
        <f t="shared" si="10"/>
        <v>0</v>
      </c>
      <c r="F266" s="97">
        <f t="shared" si="9"/>
        <v>-29260000</v>
      </c>
      <c r="G266" s="97"/>
    </row>
    <row r="267" spans="1:11">
      <c r="A267" s="97" t="s">
        <v>4536</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4544</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4548</v>
      </c>
      <c r="B271" s="111">
        <v>-9380</v>
      </c>
      <c r="C271" s="97">
        <v>0</v>
      </c>
      <c r="D271" s="97">
        <f t="shared" si="8"/>
        <v>524</v>
      </c>
      <c r="E271" s="97">
        <f t="shared" si="10"/>
        <v>0</v>
      </c>
      <c r="F271" s="97">
        <f t="shared" si="9"/>
        <v>-4915120</v>
      </c>
      <c r="G271" s="97"/>
    </row>
    <row r="272" spans="1:11">
      <c r="A272" s="97" t="s">
        <v>4548</v>
      </c>
      <c r="B272" s="111">
        <v>-2400000</v>
      </c>
      <c r="C272" s="97">
        <v>3</v>
      </c>
      <c r="D272" s="97">
        <f t="shared" si="8"/>
        <v>524</v>
      </c>
      <c r="E272" s="97">
        <f t="shared" si="10"/>
        <v>1</v>
      </c>
      <c r="F272" s="97">
        <f t="shared" si="9"/>
        <v>-1255200000</v>
      </c>
      <c r="G272" s="97"/>
    </row>
    <row r="273" spans="1:11">
      <c r="A273" s="97" t="s">
        <v>4558</v>
      </c>
      <c r="B273" s="111">
        <v>15000</v>
      </c>
      <c r="C273" s="97">
        <v>93</v>
      </c>
      <c r="D273" s="97">
        <f t="shared" si="8"/>
        <v>521</v>
      </c>
      <c r="E273" s="97">
        <f t="shared" si="10"/>
        <v>1</v>
      </c>
      <c r="F273" s="97">
        <f t="shared" si="9"/>
        <v>7800000</v>
      </c>
      <c r="G273" s="97"/>
    </row>
    <row r="274" spans="1:11">
      <c r="A274" s="97" t="s">
        <v>4820</v>
      </c>
      <c r="B274" s="111">
        <v>3500000</v>
      </c>
      <c r="C274" s="97">
        <v>0</v>
      </c>
      <c r="D274" s="97">
        <f t="shared" si="8"/>
        <v>428</v>
      </c>
      <c r="E274" s="97">
        <f t="shared" si="10"/>
        <v>0</v>
      </c>
      <c r="F274" s="97">
        <f t="shared" si="9"/>
        <v>1498000000</v>
      </c>
      <c r="G274" s="97"/>
    </row>
    <row r="275" spans="1:11">
      <c r="A275" s="97" t="s">
        <v>4820</v>
      </c>
      <c r="B275" s="111">
        <v>-224012</v>
      </c>
      <c r="C275" s="97">
        <v>2</v>
      </c>
      <c r="D275" s="97">
        <f t="shared" si="8"/>
        <v>428</v>
      </c>
      <c r="E275" s="97">
        <f t="shared" si="10"/>
        <v>0</v>
      </c>
      <c r="F275" s="97">
        <f t="shared" si="9"/>
        <v>-95877136</v>
      </c>
      <c r="G275" s="97"/>
    </row>
    <row r="276" spans="1:11">
      <c r="A276" s="97" t="s">
        <v>4832</v>
      </c>
      <c r="B276" s="111">
        <v>-104671</v>
      </c>
      <c r="C276" s="97">
        <v>1</v>
      </c>
      <c r="D276" s="97">
        <f>D277+C276</f>
        <v>426</v>
      </c>
      <c r="E276" s="97">
        <f>IF(B277&gt;0,1,0)</f>
        <v>0</v>
      </c>
      <c r="F276" s="97">
        <f t="shared" si="9"/>
        <v>-44589846</v>
      </c>
      <c r="G276" s="97"/>
    </row>
    <row r="277" spans="1:11">
      <c r="A277" s="97" t="s">
        <v>4833</v>
      </c>
      <c r="B277" s="111">
        <v>-272000</v>
      </c>
      <c r="C277" s="97">
        <v>1</v>
      </c>
      <c r="D277" s="97">
        <f>D278+C277</f>
        <v>425</v>
      </c>
      <c r="E277" s="97">
        <f>IF(B278&gt;0,1,0)</f>
        <v>0</v>
      </c>
      <c r="F277" s="97">
        <f t="shared" si="9"/>
        <v>-115600000</v>
      </c>
      <c r="G277" s="97"/>
    </row>
    <row r="278" spans="1:11">
      <c r="A278" s="97" t="s">
        <v>4835</v>
      </c>
      <c r="B278" s="111">
        <v>-2565078</v>
      </c>
      <c r="C278" s="97">
        <v>2</v>
      </c>
      <c r="D278" s="97">
        <f>D279+C278</f>
        <v>424</v>
      </c>
      <c r="E278" s="97">
        <f>IF(B279&gt;0,1,0)</f>
        <v>0</v>
      </c>
      <c r="F278" s="97">
        <f t="shared" si="9"/>
        <v>-1087593072</v>
      </c>
      <c r="G278" s="97"/>
    </row>
    <row r="279" spans="1:11">
      <c r="A279" s="97" t="s">
        <v>4792</v>
      </c>
      <c r="B279" s="111">
        <v>-213500</v>
      </c>
      <c r="C279" s="97">
        <v>1</v>
      </c>
      <c r="D279" s="97">
        <f>D280+C279</f>
        <v>422</v>
      </c>
      <c r="E279" s="97">
        <f>IF(B280&gt;0,1,0)</f>
        <v>0</v>
      </c>
      <c r="F279" s="97">
        <f t="shared" si="9"/>
        <v>-90097000</v>
      </c>
      <c r="G279" s="97"/>
    </row>
    <row r="280" spans="1:11">
      <c r="A280" s="97" t="s">
        <v>4851</v>
      </c>
      <c r="B280" s="111">
        <v>-3810</v>
      </c>
      <c r="C280" s="97">
        <v>1</v>
      </c>
      <c r="D280" s="97">
        <f>D281+C280</f>
        <v>421</v>
      </c>
      <c r="E280" s="97">
        <f>IF(B281&gt;0,1,0)</f>
        <v>0</v>
      </c>
      <c r="F280" s="97">
        <f t="shared" si="9"/>
        <v>-1604010</v>
      </c>
      <c r="G280" s="97"/>
      <c r="J280" t="s">
        <v>25</v>
      </c>
    </row>
    <row r="281" spans="1:11">
      <c r="A281" s="97" t="s">
        <v>4852</v>
      </c>
      <c r="B281" s="111">
        <v>-120632</v>
      </c>
      <c r="C281" s="97">
        <v>1</v>
      </c>
      <c r="D281" s="97">
        <f t="shared" ref="D281:D288" si="11">D282+C281</f>
        <v>420</v>
      </c>
      <c r="E281" s="97">
        <f t="shared" ref="E281:E288" si="12">IF(B282&gt;0,1,0)</f>
        <v>1</v>
      </c>
      <c r="F281" s="97">
        <f t="shared" si="9"/>
        <v>-50544808</v>
      </c>
      <c r="G281" s="97"/>
      <c r="J281" t="s">
        <v>25</v>
      </c>
    </row>
    <row r="282" spans="1:11">
      <c r="A282" s="97" t="s">
        <v>4841</v>
      </c>
      <c r="B282" s="111">
        <v>80000</v>
      </c>
      <c r="C282" s="97">
        <v>0</v>
      </c>
      <c r="D282" s="97">
        <f t="shared" si="11"/>
        <v>419</v>
      </c>
      <c r="E282" s="97">
        <f t="shared" si="12"/>
        <v>0</v>
      </c>
      <c r="F282" s="97">
        <f t="shared" si="9"/>
        <v>33520000</v>
      </c>
      <c r="G282" s="97"/>
    </row>
    <row r="283" spans="1:11">
      <c r="A283" s="97" t="s">
        <v>4841</v>
      </c>
      <c r="B283" s="111">
        <v>-2500</v>
      </c>
      <c r="C283" s="97">
        <v>1</v>
      </c>
      <c r="D283" s="97">
        <f t="shared" si="11"/>
        <v>419</v>
      </c>
      <c r="E283" s="97">
        <f t="shared" si="12"/>
        <v>0</v>
      </c>
      <c r="F283" s="97">
        <f t="shared" si="9"/>
        <v>-1047500</v>
      </c>
      <c r="G283" s="97"/>
      <c r="J283" s="112">
        <f>B422-498804</f>
        <v>4142795</v>
      </c>
    </row>
    <row r="284" spans="1:11">
      <c r="A284" s="97" t="s">
        <v>4845</v>
      </c>
      <c r="B284" s="111">
        <v>-30000</v>
      </c>
      <c r="C284" s="97">
        <v>1</v>
      </c>
      <c r="D284" s="97">
        <f t="shared" si="11"/>
        <v>418</v>
      </c>
      <c r="E284" s="97">
        <f t="shared" si="12"/>
        <v>0</v>
      </c>
      <c r="F284" s="97">
        <f t="shared" si="9"/>
        <v>-12540000</v>
      </c>
      <c r="G284" s="97"/>
    </row>
    <row r="285" spans="1:11">
      <c r="A285" s="97" t="s">
        <v>4853</v>
      </c>
      <c r="B285" s="111">
        <v>-19800</v>
      </c>
      <c r="C285" s="97">
        <v>1</v>
      </c>
      <c r="D285" s="97">
        <f t="shared" si="11"/>
        <v>417</v>
      </c>
      <c r="E285" s="97">
        <f t="shared" si="12"/>
        <v>1</v>
      </c>
      <c r="F285" s="97">
        <f t="shared" si="9"/>
        <v>-8236800</v>
      </c>
      <c r="G285" s="97"/>
      <c r="K285" t="s">
        <v>25</v>
      </c>
    </row>
    <row r="286" spans="1:11">
      <c r="A286" s="97" t="s">
        <v>4844</v>
      </c>
      <c r="B286" s="111">
        <v>940000</v>
      </c>
      <c r="C286" s="97">
        <v>0</v>
      </c>
      <c r="D286" s="97">
        <f t="shared" si="11"/>
        <v>416</v>
      </c>
      <c r="E286" s="97">
        <f t="shared" si="12"/>
        <v>0</v>
      </c>
      <c r="F286" s="97">
        <f t="shared" si="9"/>
        <v>391040000</v>
      </c>
      <c r="G286" s="97"/>
    </row>
    <row r="287" spans="1:11">
      <c r="A287" s="97" t="s">
        <v>4844</v>
      </c>
      <c r="B287" s="111">
        <v>-201000</v>
      </c>
      <c r="C287" s="97">
        <v>1</v>
      </c>
      <c r="D287" s="97">
        <f t="shared" si="11"/>
        <v>416</v>
      </c>
      <c r="E287" s="97">
        <f t="shared" si="12"/>
        <v>0</v>
      </c>
      <c r="F287" s="97">
        <f t="shared" si="9"/>
        <v>-83616000</v>
      </c>
      <c r="G287" s="97"/>
    </row>
    <row r="288" spans="1:11">
      <c r="A288" s="97" t="s">
        <v>4849</v>
      </c>
      <c r="B288" s="111">
        <v>-320930</v>
      </c>
      <c r="C288" s="97">
        <v>3</v>
      </c>
      <c r="D288" s="97">
        <f t="shared" si="11"/>
        <v>415</v>
      </c>
      <c r="E288" s="97">
        <f t="shared" si="12"/>
        <v>0</v>
      </c>
      <c r="F288" s="97">
        <f t="shared" si="9"/>
        <v>-133185950</v>
      </c>
      <c r="G288" s="97"/>
    </row>
    <row r="289" spans="1:10">
      <c r="A289" s="97" t="s">
        <v>4850</v>
      </c>
      <c r="B289" s="111">
        <v>-400000</v>
      </c>
      <c r="C289" s="97">
        <v>1</v>
      </c>
      <c r="D289" s="97">
        <f t="shared" ref="D289:D306" si="13">D290+C289</f>
        <v>412</v>
      </c>
      <c r="E289" s="97">
        <f t="shared" ref="E289:E306" si="14">IF(B290&gt;0,1,0)</f>
        <v>0</v>
      </c>
      <c r="F289" s="97">
        <f t="shared" si="9"/>
        <v>-164800000</v>
      </c>
      <c r="G289" s="97"/>
    </row>
    <row r="290" spans="1:10">
      <c r="A290" s="97" t="s">
        <v>4855</v>
      </c>
      <c r="B290" s="111">
        <v>-16500</v>
      </c>
      <c r="C290" s="97">
        <v>11</v>
      </c>
      <c r="D290" s="97">
        <f t="shared" si="13"/>
        <v>411</v>
      </c>
      <c r="E290" s="97">
        <f t="shared" si="14"/>
        <v>1</v>
      </c>
      <c r="F290" s="97">
        <f t="shared" si="9"/>
        <v>-6765000</v>
      </c>
      <c r="G290" s="97"/>
    </row>
    <row r="291" spans="1:10">
      <c r="A291" s="97" t="s">
        <v>4871</v>
      </c>
      <c r="B291" s="111">
        <v>2600000</v>
      </c>
      <c r="C291" s="97">
        <v>2</v>
      </c>
      <c r="D291" s="97">
        <f t="shared" si="13"/>
        <v>400</v>
      </c>
      <c r="E291" s="97">
        <f t="shared" si="14"/>
        <v>0</v>
      </c>
      <c r="F291" s="97">
        <f t="shared" si="9"/>
        <v>1040000000</v>
      </c>
      <c r="G291" s="97"/>
      <c r="I291" t="s">
        <v>25</v>
      </c>
    </row>
    <row r="292" spans="1:10">
      <c r="A292" s="97" t="s">
        <v>4872</v>
      </c>
      <c r="B292" s="111">
        <v>-1170000</v>
      </c>
      <c r="C292" s="97">
        <v>0</v>
      </c>
      <c r="D292" s="97">
        <f t="shared" si="13"/>
        <v>398</v>
      </c>
      <c r="E292" s="97">
        <f t="shared" si="14"/>
        <v>0</v>
      </c>
      <c r="F292" s="97">
        <f t="shared" si="9"/>
        <v>-465660000</v>
      </c>
      <c r="G292" s="97" t="s">
        <v>4873</v>
      </c>
      <c r="J292" t="s">
        <v>25</v>
      </c>
    </row>
    <row r="293" spans="1:10">
      <c r="A293" s="97" t="s">
        <v>4872</v>
      </c>
      <c r="B293" s="111">
        <v>-9000</v>
      </c>
      <c r="C293" s="97">
        <v>1</v>
      </c>
      <c r="D293" s="97">
        <f t="shared" si="13"/>
        <v>398</v>
      </c>
      <c r="E293" s="97">
        <f t="shared" si="14"/>
        <v>0</v>
      </c>
      <c r="F293" s="97">
        <f t="shared" si="9"/>
        <v>-3582000</v>
      </c>
      <c r="G293" s="97"/>
    </row>
    <row r="294" spans="1:10">
      <c r="A294" s="97" t="s">
        <v>4874</v>
      </c>
      <c r="B294" s="111">
        <v>-1145000</v>
      </c>
      <c r="C294" s="97">
        <v>0</v>
      </c>
      <c r="D294" s="97">
        <f t="shared" si="13"/>
        <v>397</v>
      </c>
      <c r="E294" s="97">
        <f t="shared" si="14"/>
        <v>0</v>
      </c>
      <c r="F294" s="97">
        <f t="shared" si="9"/>
        <v>-454565000</v>
      </c>
      <c r="G294" s="97" t="s">
        <v>4875</v>
      </c>
    </row>
    <row r="295" spans="1:10">
      <c r="A295" s="97" t="s">
        <v>4874</v>
      </c>
      <c r="B295" s="111">
        <v>-94549</v>
      </c>
      <c r="C295" s="97">
        <v>2</v>
      </c>
      <c r="D295" s="97">
        <f t="shared" si="13"/>
        <v>397</v>
      </c>
      <c r="E295" s="97">
        <f t="shared" si="14"/>
        <v>0</v>
      </c>
      <c r="F295" s="97">
        <f t="shared" si="9"/>
        <v>-37535953</v>
      </c>
      <c r="G295" s="97" t="s">
        <v>503</v>
      </c>
      <c r="J295" t="s">
        <v>25</v>
      </c>
    </row>
    <row r="296" spans="1:10">
      <c r="A296" s="97" t="s">
        <v>5021</v>
      </c>
      <c r="B296" s="111">
        <v>-3500</v>
      </c>
      <c r="C296" s="97">
        <v>1</v>
      </c>
      <c r="D296" s="97">
        <f t="shared" si="13"/>
        <v>395</v>
      </c>
      <c r="E296" s="97">
        <f t="shared" si="14"/>
        <v>0</v>
      </c>
      <c r="F296" s="97">
        <f t="shared" si="9"/>
        <v>-1382500</v>
      </c>
      <c r="G296" s="97"/>
      <c r="I296" s="112">
        <f>B422-735892</f>
        <v>3905707</v>
      </c>
    </row>
    <row r="297" spans="1:10">
      <c r="A297" s="97" t="s">
        <v>4882</v>
      </c>
      <c r="B297" s="111">
        <v>-44900</v>
      </c>
      <c r="C297" s="97">
        <v>0</v>
      </c>
      <c r="D297" s="97">
        <f t="shared" si="13"/>
        <v>394</v>
      </c>
      <c r="E297" s="97">
        <f t="shared" si="14"/>
        <v>0</v>
      </c>
      <c r="F297" s="97">
        <f t="shared" si="9"/>
        <v>-17690600</v>
      </c>
      <c r="G297" s="97"/>
    </row>
    <row r="298" spans="1:10">
      <c r="A298" s="97" t="s">
        <v>4882</v>
      </c>
      <c r="B298" s="111">
        <v>-50000</v>
      </c>
      <c r="C298" s="97">
        <v>10</v>
      </c>
      <c r="D298" s="97">
        <f t="shared" si="13"/>
        <v>394</v>
      </c>
      <c r="E298" s="97">
        <f t="shared" si="14"/>
        <v>0</v>
      </c>
      <c r="F298" s="97">
        <f t="shared" si="9"/>
        <v>-19700000</v>
      </c>
      <c r="G298" s="97" t="s">
        <v>503</v>
      </c>
    </row>
    <row r="299" spans="1:10">
      <c r="A299" s="97" t="s">
        <v>4897</v>
      </c>
      <c r="B299" s="111">
        <v>-19850</v>
      </c>
      <c r="C299" s="97">
        <v>1</v>
      </c>
      <c r="D299" s="97">
        <f t="shared" si="13"/>
        <v>384</v>
      </c>
      <c r="E299" s="97">
        <f t="shared" si="14"/>
        <v>0</v>
      </c>
      <c r="F299" s="97">
        <f t="shared" si="9"/>
        <v>-7622400</v>
      </c>
      <c r="G299" s="97"/>
    </row>
    <row r="300" spans="1:10">
      <c r="A300" s="97" t="s">
        <v>4898</v>
      </c>
      <c r="B300" s="111">
        <v>-39770</v>
      </c>
      <c r="C300" s="97">
        <v>6</v>
      </c>
      <c r="D300" s="97">
        <f t="shared" si="13"/>
        <v>383</v>
      </c>
      <c r="E300" s="97">
        <f t="shared" si="14"/>
        <v>0</v>
      </c>
      <c r="F300" s="97">
        <f t="shared" si="9"/>
        <v>-15231910</v>
      </c>
      <c r="G300" s="97"/>
    </row>
    <row r="301" spans="1:10">
      <c r="A301" s="97" t="s">
        <v>4912</v>
      </c>
      <c r="B301" s="111">
        <v>-40000</v>
      </c>
      <c r="C301" s="97">
        <v>71</v>
      </c>
      <c r="D301" s="97">
        <f t="shared" si="13"/>
        <v>377</v>
      </c>
      <c r="E301" s="97">
        <f t="shared" si="14"/>
        <v>1</v>
      </c>
      <c r="F301" s="97">
        <f t="shared" si="9"/>
        <v>-15040000</v>
      </c>
      <c r="G301" s="97"/>
    </row>
    <row r="302" spans="1:10">
      <c r="A302" s="97" t="s">
        <v>5010</v>
      </c>
      <c r="B302" s="111">
        <v>4000000</v>
      </c>
      <c r="C302" s="97">
        <v>1</v>
      </c>
      <c r="D302" s="97">
        <f t="shared" si="13"/>
        <v>306</v>
      </c>
      <c r="E302" s="97">
        <f t="shared" si="14"/>
        <v>0</v>
      </c>
      <c r="F302" s="97">
        <f t="shared" si="9"/>
        <v>1224000000</v>
      </c>
      <c r="G302" s="97"/>
    </row>
    <row r="303" spans="1:10">
      <c r="A303" s="97" t="s">
        <v>5014</v>
      </c>
      <c r="B303" s="111">
        <v>-123860</v>
      </c>
      <c r="C303" s="97">
        <v>1</v>
      </c>
      <c r="D303" s="97">
        <f t="shared" si="13"/>
        <v>305</v>
      </c>
      <c r="E303" s="97">
        <f t="shared" si="14"/>
        <v>0</v>
      </c>
      <c r="F303" s="97">
        <f t="shared" si="9"/>
        <v>-37777300</v>
      </c>
      <c r="G303" s="97"/>
    </row>
    <row r="304" spans="1:10">
      <c r="A304" s="97" t="s">
        <v>4981</v>
      </c>
      <c r="B304" s="111">
        <v>-1660000</v>
      </c>
      <c r="C304" s="97">
        <v>1</v>
      </c>
      <c r="D304" s="97">
        <f t="shared" si="13"/>
        <v>304</v>
      </c>
      <c r="E304" s="97">
        <f t="shared" si="14"/>
        <v>0</v>
      </c>
      <c r="F304" s="97">
        <f t="shared" si="9"/>
        <v>-504640000</v>
      </c>
      <c r="G304" s="97"/>
    </row>
    <row r="305" spans="1:11">
      <c r="A305" s="97" t="s">
        <v>5020</v>
      </c>
      <c r="B305" s="111">
        <v>-63857</v>
      </c>
      <c r="C305" s="97">
        <v>0</v>
      </c>
      <c r="D305" s="97">
        <f t="shared" si="13"/>
        <v>303</v>
      </c>
      <c r="E305" s="97">
        <f t="shared" si="14"/>
        <v>0</v>
      </c>
      <c r="F305" s="97">
        <f t="shared" si="9"/>
        <v>-19348671</v>
      </c>
      <c r="G305" s="97"/>
    </row>
    <row r="306" spans="1:11">
      <c r="A306" s="97" t="s">
        <v>5022</v>
      </c>
      <c r="B306" s="111">
        <v>-631</v>
      </c>
      <c r="C306" s="97">
        <v>2</v>
      </c>
      <c r="D306" s="97">
        <f t="shared" si="13"/>
        <v>303</v>
      </c>
      <c r="E306" s="97">
        <f t="shared" si="14"/>
        <v>0</v>
      </c>
      <c r="F306" s="97">
        <f t="shared" si="9"/>
        <v>-191193</v>
      </c>
      <c r="G306" s="97" t="s">
        <v>503</v>
      </c>
      <c r="J306" t="s">
        <v>25</v>
      </c>
    </row>
    <row r="307" spans="1:11">
      <c r="A307" s="97" t="s">
        <v>5026</v>
      </c>
      <c r="B307" s="111">
        <v>-248905</v>
      </c>
      <c r="C307" s="97">
        <v>2</v>
      </c>
      <c r="D307" s="97">
        <f t="shared" ref="D307:D318" si="15">D308+C307</f>
        <v>301</v>
      </c>
      <c r="E307" s="97">
        <f t="shared" ref="E307:E318" si="16">IF(B308&gt;0,1,0)</f>
        <v>0</v>
      </c>
      <c r="F307" s="97">
        <f t="shared" si="9"/>
        <v>-74920405</v>
      </c>
      <c r="G307" s="97"/>
    </row>
    <row r="308" spans="1:11">
      <c r="A308" s="97" t="s">
        <v>5024</v>
      </c>
      <c r="B308" s="111">
        <v>-200000</v>
      </c>
      <c r="C308" s="97">
        <v>0</v>
      </c>
      <c r="D308" s="97">
        <f t="shared" si="15"/>
        <v>299</v>
      </c>
      <c r="E308" s="97">
        <f t="shared" si="16"/>
        <v>0</v>
      </c>
      <c r="F308" s="97">
        <f t="shared" si="9"/>
        <v>-59800000</v>
      </c>
      <c r="G308" s="97"/>
    </row>
    <row r="309" spans="1:11">
      <c r="A309" s="97" t="s">
        <v>5024</v>
      </c>
      <c r="B309" s="111">
        <v>-200000</v>
      </c>
      <c r="C309" s="97">
        <v>3</v>
      </c>
      <c r="D309" s="97">
        <f t="shared" si="15"/>
        <v>299</v>
      </c>
      <c r="E309" s="97">
        <f t="shared" si="16"/>
        <v>0</v>
      </c>
      <c r="F309" s="97">
        <f t="shared" si="9"/>
        <v>-59800000</v>
      </c>
      <c r="G309" s="97"/>
    </row>
    <row r="310" spans="1:11">
      <c r="A310" s="97" t="s">
        <v>5031</v>
      </c>
      <c r="B310" s="111">
        <v>-832590</v>
      </c>
      <c r="C310" s="97">
        <v>0</v>
      </c>
      <c r="D310" s="97">
        <f t="shared" si="15"/>
        <v>296</v>
      </c>
      <c r="E310" s="97">
        <f t="shared" si="16"/>
        <v>0</v>
      </c>
      <c r="F310" s="97">
        <f t="shared" si="9"/>
        <v>-246446640</v>
      </c>
      <c r="G310" s="97"/>
    </row>
    <row r="311" spans="1:11">
      <c r="A311" s="97" t="s">
        <v>5031</v>
      </c>
      <c r="B311" s="111">
        <v>-29950</v>
      </c>
      <c r="C311" s="97">
        <v>1</v>
      </c>
      <c r="D311" s="97">
        <f t="shared" si="15"/>
        <v>296</v>
      </c>
      <c r="E311" s="97">
        <f t="shared" si="16"/>
        <v>0</v>
      </c>
      <c r="F311" s="97">
        <f t="shared" si="9"/>
        <v>-8865200</v>
      </c>
      <c r="G311" s="97"/>
      <c r="K311" t="s">
        <v>25</v>
      </c>
    </row>
    <row r="312" spans="1:11">
      <c r="A312" s="97" t="s">
        <v>5068</v>
      </c>
      <c r="B312" s="111">
        <v>-8500</v>
      </c>
      <c r="C312" s="97">
        <v>1</v>
      </c>
      <c r="D312" s="97">
        <f t="shared" si="15"/>
        <v>295</v>
      </c>
      <c r="E312" s="97">
        <f t="shared" si="16"/>
        <v>0</v>
      </c>
      <c r="F312" s="97">
        <f t="shared" si="9"/>
        <v>-2507500</v>
      </c>
      <c r="G312" s="97"/>
    </row>
    <row r="313" spans="1:11">
      <c r="A313" s="97" t="s">
        <v>5048</v>
      </c>
      <c r="B313" s="111">
        <v>-116300</v>
      </c>
      <c r="C313" s="97">
        <v>1</v>
      </c>
      <c r="D313" s="97">
        <f t="shared" si="15"/>
        <v>294</v>
      </c>
      <c r="E313" s="97">
        <f t="shared" si="16"/>
        <v>0</v>
      </c>
      <c r="F313" s="97">
        <f t="shared" si="9"/>
        <v>-34192200</v>
      </c>
      <c r="G313" s="97"/>
    </row>
    <row r="314" spans="1:11">
      <c r="A314" s="97" t="s">
        <v>5034</v>
      </c>
      <c r="B314" s="111">
        <v>-75500</v>
      </c>
      <c r="C314" s="97">
        <v>1</v>
      </c>
      <c r="D314" s="97">
        <f t="shared" si="15"/>
        <v>293</v>
      </c>
      <c r="E314" s="97">
        <f t="shared" si="16"/>
        <v>0</v>
      </c>
      <c r="F314" s="97">
        <f t="shared" ref="F314:F331" si="17">B314*(D314-E314)</f>
        <v>-22121500</v>
      </c>
      <c r="G314" s="97"/>
    </row>
    <row r="315" spans="1:11">
      <c r="A315" s="97" t="s">
        <v>5044</v>
      </c>
      <c r="B315" s="111">
        <v>-331250</v>
      </c>
      <c r="C315" s="97">
        <v>2</v>
      </c>
      <c r="D315" s="97">
        <f t="shared" si="15"/>
        <v>292</v>
      </c>
      <c r="E315" s="97">
        <f t="shared" si="16"/>
        <v>0</v>
      </c>
      <c r="F315" s="97">
        <f t="shared" si="17"/>
        <v>-96725000</v>
      </c>
      <c r="G315" s="97"/>
    </row>
    <row r="316" spans="1:11">
      <c r="A316" s="97" t="s">
        <v>5069</v>
      </c>
      <c r="B316" s="111">
        <v>-39000</v>
      </c>
      <c r="C316" s="97">
        <v>1</v>
      </c>
      <c r="D316" s="97">
        <f t="shared" si="15"/>
        <v>290</v>
      </c>
      <c r="E316" s="97">
        <f t="shared" si="16"/>
        <v>0</v>
      </c>
      <c r="F316" s="97">
        <f t="shared" si="17"/>
        <v>-11310000</v>
      </c>
      <c r="G316" s="97"/>
      <c r="I316" s="112"/>
    </row>
    <row r="317" spans="1:11">
      <c r="A317" s="97" t="s">
        <v>5046</v>
      </c>
      <c r="B317" s="111">
        <v>-44000</v>
      </c>
      <c r="C317" s="97">
        <v>3</v>
      </c>
      <c r="D317" s="97">
        <f t="shared" si="15"/>
        <v>289</v>
      </c>
      <c r="E317" s="97">
        <f t="shared" si="16"/>
        <v>0</v>
      </c>
      <c r="F317" s="97">
        <f t="shared" si="17"/>
        <v>-12716000</v>
      </c>
      <c r="G317" s="97"/>
      <c r="J317" t="s">
        <v>25</v>
      </c>
    </row>
    <row r="318" spans="1:11">
      <c r="A318" s="97" t="s">
        <v>4993</v>
      </c>
      <c r="B318" s="111">
        <v>-30476</v>
      </c>
      <c r="C318" s="97">
        <v>1</v>
      </c>
      <c r="D318" s="97">
        <f t="shared" si="15"/>
        <v>286</v>
      </c>
      <c r="E318" s="97">
        <f t="shared" si="16"/>
        <v>0</v>
      </c>
      <c r="F318" s="97">
        <f t="shared" si="17"/>
        <v>-8716136</v>
      </c>
      <c r="G318" s="97"/>
    </row>
    <row r="319" spans="1:11">
      <c r="A319" s="97" t="s">
        <v>5050</v>
      </c>
      <c r="B319" s="111">
        <v>-4000</v>
      </c>
      <c r="C319" s="97">
        <v>11</v>
      </c>
      <c r="D319" s="97">
        <f t="shared" ref="D319:D326" si="18">D320+C319</f>
        <v>285</v>
      </c>
      <c r="E319" s="97">
        <f t="shared" ref="E319:E326" si="19">IF(B320&gt;0,1,0)</f>
        <v>1</v>
      </c>
      <c r="F319" s="97">
        <f t="shared" si="17"/>
        <v>-1136000</v>
      </c>
      <c r="G319" s="97"/>
    </row>
    <row r="320" spans="1:11">
      <c r="A320" s="97" t="s">
        <v>5070</v>
      </c>
      <c r="B320" s="111">
        <v>6300000</v>
      </c>
      <c r="C320" s="97">
        <v>1</v>
      </c>
      <c r="D320" s="97">
        <f t="shared" si="18"/>
        <v>274</v>
      </c>
      <c r="E320" s="97">
        <f t="shared" si="19"/>
        <v>0</v>
      </c>
      <c r="F320" s="97">
        <f t="shared" si="17"/>
        <v>1726200000</v>
      </c>
      <c r="G320" s="97"/>
    </row>
    <row r="321" spans="1:9">
      <c r="A321" s="97" t="s">
        <v>5092</v>
      </c>
      <c r="B321" s="111">
        <v>-6000000</v>
      </c>
      <c r="C321" s="97">
        <v>2</v>
      </c>
      <c r="D321" s="97">
        <f t="shared" si="18"/>
        <v>273</v>
      </c>
      <c r="E321" s="97">
        <f t="shared" si="19"/>
        <v>0</v>
      </c>
      <c r="F321" s="97">
        <f t="shared" si="17"/>
        <v>-1638000000</v>
      </c>
      <c r="G321" s="97"/>
    </row>
    <row r="322" spans="1:9">
      <c r="A322" s="97" t="s">
        <v>5091</v>
      </c>
      <c r="B322" s="111">
        <v>-295000</v>
      </c>
      <c r="C322" s="97">
        <v>0</v>
      </c>
      <c r="D322" s="97">
        <f t="shared" si="18"/>
        <v>271</v>
      </c>
      <c r="E322" s="97">
        <f t="shared" si="19"/>
        <v>1</v>
      </c>
      <c r="F322" s="97">
        <f t="shared" si="17"/>
        <v>-79650000</v>
      </c>
      <c r="G322" s="97"/>
    </row>
    <row r="323" spans="1:9">
      <c r="A323" s="97" t="s">
        <v>5091</v>
      </c>
      <c r="B323" s="111">
        <v>483</v>
      </c>
      <c r="C323" s="97">
        <v>8</v>
      </c>
      <c r="D323" s="97">
        <f t="shared" si="18"/>
        <v>271</v>
      </c>
      <c r="E323" s="97">
        <f t="shared" si="19"/>
        <v>1</v>
      </c>
      <c r="F323" s="97">
        <f t="shared" si="17"/>
        <v>130410</v>
      </c>
      <c r="G323" s="97" t="s">
        <v>687</v>
      </c>
      <c r="I323" t="s">
        <v>25</v>
      </c>
    </row>
    <row r="324" spans="1:9">
      <c r="A324" s="97" t="s">
        <v>5109</v>
      </c>
      <c r="B324" s="111">
        <v>1700000</v>
      </c>
      <c r="C324" s="97">
        <v>0</v>
      </c>
      <c r="D324" s="97">
        <f t="shared" si="18"/>
        <v>263</v>
      </c>
      <c r="E324" s="97">
        <f t="shared" si="19"/>
        <v>0</v>
      </c>
      <c r="F324" s="97">
        <f t="shared" si="17"/>
        <v>447100000</v>
      </c>
      <c r="G324" s="97"/>
    </row>
    <row r="325" spans="1:9">
      <c r="A325" s="97" t="s">
        <v>5109</v>
      </c>
      <c r="B325" s="111">
        <v>-53000</v>
      </c>
      <c r="C325" s="97">
        <v>1</v>
      </c>
      <c r="D325" s="97">
        <f t="shared" si="18"/>
        <v>263</v>
      </c>
      <c r="E325" s="97">
        <f t="shared" si="19"/>
        <v>0</v>
      </c>
      <c r="F325" s="97">
        <f t="shared" si="17"/>
        <v>-13939000</v>
      </c>
      <c r="G325" s="97"/>
    </row>
    <row r="326" spans="1:9">
      <c r="A326" s="97" t="s">
        <v>5110</v>
      </c>
      <c r="B326" s="111">
        <v>-1300000</v>
      </c>
      <c r="C326" s="97">
        <v>0</v>
      </c>
      <c r="D326" s="97">
        <f t="shared" si="18"/>
        <v>262</v>
      </c>
      <c r="E326" s="97">
        <f t="shared" si="19"/>
        <v>0</v>
      </c>
      <c r="F326" s="97">
        <f t="shared" si="17"/>
        <v>-340600000</v>
      </c>
      <c r="G326" s="97"/>
      <c r="I326" t="s">
        <v>25</v>
      </c>
    </row>
    <row r="327" spans="1:9">
      <c r="A327" s="97" t="s">
        <v>5110</v>
      </c>
      <c r="B327" s="111">
        <v>-41500</v>
      </c>
      <c r="C327" s="97">
        <v>1</v>
      </c>
      <c r="D327" s="97">
        <f t="shared" ref="D327:D333" si="20">D328+C327</f>
        <v>262</v>
      </c>
      <c r="E327" s="97">
        <f t="shared" ref="E327:E333" si="21">IF(B328&gt;0,1,0)</f>
        <v>0</v>
      </c>
      <c r="F327" s="97">
        <f t="shared" si="17"/>
        <v>-10873000</v>
      </c>
      <c r="G327" s="97"/>
    </row>
    <row r="328" spans="1:9">
      <c r="A328" s="97" t="s">
        <v>5113</v>
      </c>
      <c r="B328" s="111">
        <v>-57700</v>
      </c>
      <c r="C328" s="97">
        <v>3</v>
      </c>
      <c r="D328" s="97">
        <f t="shared" si="20"/>
        <v>261</v>
      </c>
      <c r="E328" s="97">
        <f t="shared" si="21"/>
        <v>0</v>
      </c>
      <c r="F328" s="97">
        <f t="shared" si="17"/>
        <v>-15059700</v>
      </c>
      <c r="G328" s="97"/>
    </row>
    <row r="329" spans="1:9">
      <c r="A329" s="97" t="s">
        <v>5116</v>
      </c>
      <c r="B329" s="111">
        <v>-5600</v>
      </c>
      <c r="C329" s="97">
        <v>1</v>
      </c>
      <c r="D329" s="97">
        <f t="shared" si="20"/>
        <v>258</v>
      </c>
      <c r="E329" s="97">
        <f t="shared" si="21"/>
        <v>0</v>
      </c>
      <c r="F329" s="97">
        <f t="shared" si="17"/>
        <v>-1444800</v>
      </c>
      <c r="G329" s="97"/>
    </row>
    <row r="330" spans="1:9">
      <c r="A330" s="97" t="s">
        <v>5117</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5126</v>
      </c>
      <c r="B333" s="111">
        <v>-78508</v>
      </c>
      <c r="C333" s="97">
        <v>2</v>
      </c>
      <c r="D333" s="97">
        <f t="shared" si="20"/>
        <v>253</v>
      </c>
      <c r="E333" s="97">
        <f t="shared" si="21"/>
        <v>0</v>
      </c>
      <c r="F333" s="97">
        <f>B333*(D333-E333)</f>
        <v>-19862524</v>
      </c>
      <c r="G333" s="97"/>
    </row>
    <row r="334" spans="1:9">
      <c r="A334" s="97" t="s">
        <v>5127</v>
      </c>
      <c r="B334" s="111">
        <v>-2000</v>
      </c>
      <c r="C334" s="97">
        <v>4</v>
      </c>
      <c r="D334" s="97">
        <f t="shared" ref="D334:D352" si="22">D335+C334</f>
        <v>251</v>
      </c>
      <c r="E334" s="97">
        <f t="shared" ref="E334:E352" si="23">IF(B335&gt;0,1,0)</f>
        <v>1</v>
      </c>
      <c r="F334" s="97">
        <f t="shared" ref="F334:F352" si="24">B334*(D334-E334)</f>
        <v>-500000</v>
      </c>
      <c r="G334" s="97"/>
    </row>
    <row r="335" spans="1:9">
      <c r="A335" s="97" t="s">
        <v>5130</v>
      </c>
      <c r="B335" s="111">
        <v>2200472</v>
      </c>
      <c r="C335" s="97">
        <v>1</v>
      </c>
      <c r="D335" s="97">
        <f t="shared" si="22"/>
        <v>247</v>
      </c>
      <c r="E335" s="97">
        <f t="shared" si="23"/>
        <v>0</v>
      </c>
      <c r="F335" s="97">
        <f t="shared" si="24"/>
        <v>543516584</v>
      </c>
      <c r="G335" s="97"/>
      <c r="H335" t="s">
        <v>25</v>
      </c>
    </row>
    <row r="336" spans="1:9">
      <c r="A336" s="97" t="s">
        <v>5136</v>
      </c>
      <c r="B336" s="111">
        <v>-28000</v>
      </c>
      <c r="C336" s="97">
        <v>2</v>
      </c>
      <c r="D336" s="97">
        <f t="shared" si="22"/>
        <v>246</v>
      </c>
      <c r="E336" s="97">
        <f t="shared" si="23"/>
        <v>1</v>
      </c>
      <c r="F336" s="97">
        <f t="shared" si="24"/>
        <v>-6860000</v>
      </c>
      <c r="G336" s="97"/>
    </row>
    <row r="337" spans="1:13">
      <c r="A337" s="97" t="s">
        <v>5135</v>
      </c>
      <c r="B337" s="111">
        <v>2500000</v>
      </c>
      <c r="C337" s="97">
        <v>0</v>
      </c>
      <c r="D337" s="97">
        <f t="shared" si="22"/>
        <v>244</v>
      </c>
      <c r="E337" s="97">
        <f t="shared" si="23"/>
        <v>0</v>
      </c>
      <c r="F337" s="97">
        <f t="shared" si="24"/>
        <v>610000000</v>
      </c>
      <c r="G337" s="97"/>
    </row>
    <row r="338" spans="1:13">
      <c r="A338" s="97" t="s">
        <v>5135</v>
      </c>
      <c r="B338" s="111">
        <v>-407500</v>
      </c>
      <c r="C338" s="97">
        <v>2</v>
      </c>
      <c r="D338" s="97">
        <f t="shared" si="22"/>
        <v>244</v>
      </c>
      <c r="E338" s="97">
        <f t="shared" si="23"/>
        <v>0</v>
      </c>
      <c r="F338" s="97">
        <f t="shared" si="24"/>
        <v>-99430000</v>
      </c>
      <c r="G338" s="97"/>
    </row>
    <row r="339" spans="1:13">
      <c r="A339" s="97" t="s">
        <v>5137</v>
      </c>
      <c r="B339" s="111">
        <v>-3600</v>
      </c>
      <c r="C339" s="97">
        <v>1</v>
      </c>
      <c r="D339" s="97">
        <f t="shared" si="22"/>
        <v>242</v>
      </c>
      <c r="E339" s="97">
        <f t="shared" si="23"/>
        <v>0</v>
      </c>
      <c r="F339" s="97">
        <f t="shared" si="24"/>
        <v>-871200</v>
      </c>
      <c r="G339" s="97"/>
    </row>
    <row r="340" spans="1:13">
      <c r="A340" s="97" t="s">
        <v>5141</v>
      </c>
      <c r="B340" s="111">
        <v>-170094</v>
      </c>
      <c r="C340" s="97">
        <v>1</v>
      </c>
      <c r="D340" s="97">
        <f t="shared" si="22"/>
        <v>241</v>
      </c>
      <c r="E340" s="97">
        <f t="shared" si="23"/>
        <v>0</v>
      </c>
      <c r="F340" s="97">
        <f t="shared" si="24"/>
        <v>-40992654</v>
      </c>
      <c r="G340" s="97"/>
      <c r="J340" t="s">
        <v>25</v>
      </c>
    </row>
    <row r="341" spans="1:13">
      <c r="A341" s="97" t="s">
        <v>5138</v>
      </c>
      <c r="B341" s="111">
        <v>-51730</v>
      </c>
      <c r="C341" s="97">
        <v>1</v>
      </c>
      <c r="D341" s="97">
        <f t="shared" si="22"/>
        <v>240</v>
      </c>
      <c r="E341" s="97">
        <f t="shared" si="23"/>
        <v>0</v>
      </c>
      <c r="F341" s="97">
        <f t="shared" si="24"/>
        <v>-12415200</v>
      </c>
      <c r="G341" s="97"/>
    </row>
    <row r="342" spans="1:13">
      <c r="A342" s="97" t="s">
        <v>5142</v>
      </c>
      <c r="B342" s="111">
        <v>-200000</v>
      </c>
      <c r="C342" s="97">
        <v>2</v>
      </c>
      <c r="D342" s="97">
        <f t="shared" si="22"/>
        <v>239</v>
      </c>
      <c r="E342" s="97">
        <f t="shared" si="23"/>
        <v>0</v>
      </c>
      <c r="F342" s="97">
        <f t="shared" si="24"/>
        <v>-47800000</v>
      </c>
      <c r="G342" s="97"/>
    </row>
    <row r="343" spans="1:13">
      <c r="A343" s="97" t="s">
        <v>5108</v>
      </c>
      <c r="B343" s="111">
        <v>-3000000</v>
      </c>
      <c r="C343" s="97">
        <v>0</v>
      </c>
      <c r="D343" s="97">
        <f t="shared" si="22"/>
        <v>237</v>
      </c>
      <c r="E343" s="97">
        <f t="shared" si="23"/>
        <v>0</v>
      </c>
      <c r="F343" s="97">
        <f t="shared" si="24"/>
        <v>-711000000</v>
      </c>
      <c r="G343" s="97"/>
    </row>
    <row r="344" spans="1:13">
      <c r="A344" s="97" t="s">
        <v>5108</v>
      </c>
      <c r="B344" s="111">
        <v>-39726</v>
      </c>
      <c r="C344" s="97">
        <v>1</v>
      </c>
      <c r="D344" s="97">
        <f t="shared" si="22"/>
        <v>237</v>
      </c>
      <c r="E344" s="97">
        <f t="shared" si="23"/>
        <v>0</v>
      </c>
      <c r="F344" s="97">
        <f t="shared" si="24"/>
        <v>-9415062</v>
      </c>
      <c r="G344" s="97"/>
      <c r="M344" t="s">
        <v>25</v>
      </c>
    </row>
    <row r="345" spans="1:13">
      <c r="A345" s="97" t="s">
        <v>5144</v>
      </c>
      <c r="B345" s="111">
        <v>-566500</v>
      </c>
      <c r="C345" s="97">
        <v>1</v>
      </c>
      <c r="D345" s="97">
        <f t="shared" si="22"/>
        <v>236</v>
      </c>
      <c r="E345" s="97">
        <f t="shared" si="23"/>
        <v>0</v>
      </c>
      <c r="F345" s="97">
        <f t="shared" si="24"/>
        <v>-133694000</v>
      </c>
      <c r="G345" s="97"/>
      <c r="K345" t="s">
        <v>25</v>
      </c>
    </row>
    <row r="346" spans="1:13">
      <c r="A346" s="97" t="s">
        <v>5145</v>
      </c>
      <c r="B346" s="111">
        <v>-300000</v>
      </c>
      <c r="C346" s="97">
        <v>22</v>
      </c>
      <c r="D346" s="97">
        <f t="shared" si="22"/>
        <v>235</v>
      </c>
      <c r="E346" s="97">
        <f t="shared" si="23"/>
        <v>1</v>
      </c>
      <c r="F346" s="97">
        <f t="shared" si="24"/>
        <v>-70200000</v>
      </c>
      <c r="G346" s="97"/>
      <c r="J346" t="s">
        <v>25</v>
      </c>
    </row>
    <row r="347" spans="1:13">
      <c r="A347" s="97" t="s">
        <v>5165</v>
      </c>
      <c r="B347" s="111">
        <v>700000</v>
      </c>
      <c r="C347" s="97">
        <v>1</v>
      </c>
      <c r="D347" s="97">
        <f t="shared" si="22"/>
        <v>213</v>
      </c>
      <c r="E347" s="97">
        <f t="shared" si="23"/>
        <v>0</v>
      </c>
      <c r="F347" s="97">
        <f t="shared" si="24"/>
        <v>149100000</v>
      </c>
      <c r="G347" s="97"/>
    </row>
    <row r="348" spans="1:13">
      <c r="A348" s="97" t="s">
        <v>5168</v>
      </c>
      <c r="B348" s="111">
        <v>-101000</v>
      </c>
      <c r="C348" s="97">
        <v>1</v>
      </c>
      <c r="D348" s="97">
        <f t="shared" si="22"/>
        <v>212</v>
      </c>
      <c r="E348" s="97">
        <f t="shared" si="23"/>
        <v>0</v>
      </c>
      <c r="F348" s="97">
        <f t="shared" si="24"/>
        <v>-21412000</v>
      </c>
      <c r="G348" s="97"/>
    </row>
    <row r="349" spans="1:13">
      <c r="A349" s="97" t="s">
        <v>5168</v>
      </c>
      <c r="B349" s="111">
        <v>-57245</v>
      </c>
      <c r="C349" s="97">
        <v>1</v>
      </c>
      <c r="D349" s="97">
        <f t="shared" si="22"/>
        <v>211</v>
      </c>
      <c r="E349" s="97">
        <f t="shared" si="23"/>
        <v>0</v>
      </c>
      <c r="F349" s="97">
        <f t="shared" si="24"/>
        <v>-12078695</v>
      </c>
      <c r="G349" s="97"/>
    </row>
    <row r="350" spans="1:13">
      <c r="A350" s="97" t="s">
        <v>5170</v>
      </c>
      <c r="B350" s="111">
        <v>-398700</v>
      </c>
      <c r="C350" s="97">
        <v>2</v>
      </c>
      <c r="D350" s="97">
        <f t="shared" si="22"/>
        <v>210</v>
      </c>
      <c r="E350" s="97">
        <f t="shared" si="23"/>
        <v>0</v>
      </c>
      <c r="F350" s="97">
        <f t="shared" si="24"/>
        <v>-83727000</v>
      </c>
      <c r="G350" s="97"/>
    </row>
    <row r="351" spans="1:13">
      <c r="A351" s="97" t="s">
        <v>5169</v>
      </c>
      <c r="B351" s="111">
        <v>-87010</v>
      </c>
      <c r="C351" s="97">
        <v>5</v>
      </c>
      <c r="D351" s="97">
        <f t="shared" si="22"/>
        <v>208</v>
      </c>
      <c r="E351" s="97">
        <f t="shared" si="23"/>
        <v>0</v>
      </c>
      <c r="F351" s="97">
        <f t="shared" si="24"/>
        <v>-18098080</v>
      </c>
      <c r="G351" s="97"/>
    </row>
    <row r="352" spans="1:13">
      <c r="A352" s="97" t="s">
        <v>5199</v>
      </c>
      <c r="B352" s="111">
        <v>-50000</v>
      </c>
      <c r="C352" s="97">
        <v>28</v>
      </c>
      <c r="D352" s="97">
        <f t="shared" si="22"/>
        <v>203</v>
      </c>
      <c r="E352" s="97">
        <f t="shared" si="23"/>
        <v>1</v>
      </c>
      <c r="F352" s="97">
        <f t="shared" si="24"/>
        <v>-10100000</v>
      </c>
      <c r="G352" s="97"/>
    </row>
    <row r="353" spans="1:12">
      <c r="A353" s="97" t="s">
        <v>5198</v>
      </c>
      <c r="B353" s="111">
        <v>1200000</v>
      </c>
      <c r="C353" s="97">
        <v>0</v>
      </c>
      <c r="D353" s="97">
        <f t="shared" ref="D353:D365" si="25">D354+C353</f>
        <v>175</v>
      </c>
      <c r="E353" s="97">
        <f t="shared" ref="E353:E365" si="26">IF(B354&gt;0,1,0)</f>
        <v>0</v>
      </c>
      <c r="F353" s="97">
        <f t="shared" ref="F353:F365" si="27">B353*(D353-E353)</f>
        <v>210000000</v>
      </c>
      <c r="G353" s="97"/>
    </row>
    <row r="354" spans="1:12">
      <c r="A354" s="97" t="s">
        <v>5198</v>
      </c>
      <c r="B354" s="111">
        <v>-367300</v>
      </c>
      <c r="C354" s="97">
        <v>1</v>
      </c>
      <c r="D354" s="97">
        <f t="shared" si="25"/>
        <v>175</v>
      </c>
      <c r="E354" s="97">
        <f t="shared" si="26"/>
        <v>0</v>
      </c>
      <c r="F354" s="97">
        <f t="shared" si="27"/>
        <v>-64277500</v>
      </c>
      <c r="G354" s="97"/>
    </row>
    <row r="355" spans="1:12">
      <c r="A355" s="97" t="s">
        <v>5200</v>
      </c>
      <c r="B355" s="111">
        <v>-104894</v>
      </c>
      <c r="C355" s="97">
        <v>1</v>
      </c>
      <c r="D355" s="97">
        <f t="shared" si="25"/>
        <v>174</v>
      </c>
      <c r="E355" s="97">
        <f t="shared" si="26"/>
        <v>0</v>
      </c>
      <c r="F355" s="97">
        <f t="shared" si="27"/>
        <v>-18251556</v>
      </c>
      <c r="G355" s="97"/>
    </row>
    <row r="356" spans="1:12">
      <c r="A356" s="97" t="s">
        <v>5201</v>
      </c>
      <c r="B356" s="111">
        <v>-688700</v>
      </c>
      <c r="C356" s="97">
        <v>0</v>
      </c>
      <c r="D356" s="97">
        <f t="shared" si="25"/>
        <v>173</v>
      </c>
      <c r="E356" s="97">
        <f t="shared" si="26"/>
        <v>0</v>
      </c>
      <c r="F356" s="97">
        <f t="shared" si="27"/>
        <v>-119145100</v>
      </c>
      <c r="G356" s="97"/>
    </row>
    <row r="357" spans="1:12">
      <c r="A357" s="97" t="s">
        <v>5201</v>
      </c>
      <c r="B357" s="111">
        <v>-8321</v>
      </c>
      <c r="C357" s="97">
        <v>5</v>
      </c>
      <c r="D357" s="97">
        <f t="shared" si="25"/>
        <v>173</v>
      </c>
      <c r="E357" s="97">
        <f t="shared" si="26"/>
        <v>1</v>
      </c>
      <c r="F357" s="97">
        <f t="shared" si="27"/>
        <v>-1431212</v>
      </c>
      <c r="G357" s="97"/>
      <c r="J357" t="s">
        <v>25</v>
      </c>
    </row>
    <row r="358" spans="1:12">
      <c r="A358" s="97" t="s">
        <v>5211</v>
      </c>
      <c r="B358" s="111">
        <v>1000000</v>
      </c>
      <c r="C358" s="97">
        <v>0</v>
      </c>
      <c r="D358" s="97">
        <f t="shared" si="25"/>
        <v>168</v>
      </c>
      <c r="E358" s="97">
        <f t="shared" si="26"/>
        <v>0</v>
      </c>
      <c r="F358" s="97">
        <f t="shared" si="27"/>
        <v>168000000</v>
      </c>
      <c r="G358" s="97"/>
    </row>
    <row r="359" spans="1:12">
      <c r="A359" s="97" t="s">
        <v>5211</v>
      </c>
      <c r="B359" s="111">
        <v>-127644</v>
      </c>
      <c r="C359" s="97">
        <v>1</v>
      </c>
      <c r="D359" s="97">
        <f t="shared" si="25"/>
        <v>168</v>
      </c>
      <c r="E359" s="97">
        <f t="shared" si="26"/>
        <v>0</v>
      </c>
      <c r="F359" s="97">
        <f t="shared" si="27"/>
        <v>-21444192</v>
      </c>
      <c r="G359" s="97"/>
    </row>
    <row r="360" spans="1:12">
      <c r="A360" s="97" t="s">
        <v>5212</v>
      </c>
      <c r="B360" s="111">
        <v>-418000</v>
      </c>
      <c r="C360" s="97">
        <v>4</v>
      </c>
      <c r="D360" s="97">
        <f t="shared" si="25"/>
        <v>167</v>
      </c>
      <c r="E360" s="97">
        <f t="shared" si="26"/>
        <v>0</v>
      </c>
      <c r="F360" s="97">
        <f t="shared" si="27"/>
        <v>-69806000</v>
      </c>
      <c r="G360" s="97"/>
    </row>
    <row r="361" spans="1:12">
      <c r="A361" s="97" t="s">
        <v>5216</v>
      </c>
      <c r="B361" s="111">
        <v>-183136</v>
      </c>
      <c r="C361" s="97">
        <v>2</v>
      </c>
      <c r="D361" s="97">
        <f t="shared" si="25"/>
        <v>163</v>
      </c>
      <c r="E361" s="97">
        <f t="shared" si="26"/>
        <v>0</v>
      </c>
      <c r="F361" s="97">
        <f t="shared" si="27"/>
        <v>-29851168</v>
      </c>
      <c r="G361" s="97"/>
      <c r="L361" t="s">
        <v>25</v>
      </c>
    </row>
    <row r="362" spans="1:12">
      <c r="A362" s="97" t="s">
        <v>5237</v>
      </c>
      <c r="B362" s="111">
        <v>-18600</v>
      </c>
      <c r="C362" s="97">
        <v>2</v>
      </c>
      <c r="D362" s="97">
        <f t="shared" si="25"/>
        <v>161</v>
      </c>
      <c r="E362" s="97">
        <f t="shared" si="26"/>
        <v>0</v>
      </c>
      <c r="F362" s="97">
        <f t="shared" si="27"/>
        <v>-2994600</v>
      </c>
      <c r="G362" s="97"/>
    </row>
    <row r="363" spans="1:12">
      <c r="A363" s="97" t="s">
        <v>5222</v>
      </c>
      <c r="B363" s="111">
        <v>-90000</v>
      </c>
      <c r="C363" s="97">
        <v>1</v>
      </c>
      <c r="D363" s="97">
        <f t="shared" si="25"/>
        <v>159</v>
      </c>
      <c r="E363" s="97">
        <f t="shared" si="26"/>
        <v>0</v>
      </c>
      <c r="F363" s="97">
        <f t="shared" si="27"/>
        <v>-14310000</v>
      </c>
      <c r="G363" s="97"/>
    </row>
    <row r="364" spans="1:12">
      <c r="A364" s="97" t="s">
        <v>5223</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5226</v>
      </c>
      <c r="B368" s="111">
        <v>3500000</v>
      </c>
      <c r="C368" s="97">
        <v>3</v>
      </c>
      <c r="D368" s="97">
        <f t="shared" si="28"/>
        <v>156</v>
      </c>
      <c r="E368" s="97">
        <f t="shared" si="29"/>
        <v>0</v>
      </c>
      <c r="F368" s="97">
        <f t="shared" si="30"/>
        <v>546000000</v>
      </c>
      <c r="G368" s="97"/>
    </row>
    <row r="369" spans="1:11">
      <c r="A369" s="97" t="s">
        <v>5228</v>
      </c>
      <c r="B369" s="111">
        <v>-93800</v>
      </c>
      <c r="C369" s="97">
        <v>1</v>
      </c>
      <c r="D369" s="97">
        <f t="shared" si="28"/>
        <v>153</v>
      </c>
      <c r="E369" s="97">
        <f t="shared" si="29"/>
        <v>0</v>
      </c>
      <c r="F369" s="97">
        <f t="shared" si="30"/>
        <v>-14351400</v>
      </c>
      <c r="G369" s="97"/>
    </row>
    <row r="370" spans="1:11">
      <c r="A370" s="97" t="s">
        <v>5230</v>
      </c>
      <c r="B370" s="111">
        <v>-815500</v>
      </c>
      <c r="C370" s="97">
        <v>1</v>
      </c>
      <c r="D370" s="97">
        <f t="shared" si="28"/>
        <v>152</v>
      </c>
      <c r="E370" s="97">
        <f t="shared" si="29"/>
        <v>0</v>
      </c>
      <c r="F370" s="97">
        <f t="shared" si="30"/>
        <v>-123956000</v>
      </c>
      <c r="G370" s="97"/>
    </row>
    <row r="371" spans="1:11">
      <c r="A371" s="97" t="s">
        <v>5233</v>
      </c>
      <c r="B371" s="111">
        <v>-2096840</v>
      </c>
      <c r="C371" s="97">
        <v>0</v>
      </c>
      <c r="D371" s="97">
        <f t="shared" si="28"/>
        <v>151</v>
      </c>
      <c r="E371" s="97">
        <f t="shared" si="29"/>
        <v>1</v>
      </c>
      <c r="F371" s="97">
        <f t="shared" si="30"/>
        <v>-314526000</v>
      </c>
      <c r="G371" s="97"/>
    </row>
    <row r="372" spans="1:11">
      <c r="A372" s="97" t="s">
        <v>5233</v>
      </c>
      <c r="B372" s="111">
        <v>533</v>
      </c>
      <c r="C372" s="97">
        <v>1</v>
      </c>
      <c r="D372" s="97">
        <f t="shared" si="28"/>
        <v>151</v>
      </c>
      <c r="E372" s="97">
        <f t="shared" si="29"/>
        <v>1</v>
      </c>
      <c r="F372" s="97">
        <f t="shared" si="30"/>
        <v>79950</v>
      </c>
      <c r="G372" s="97"/>
      <c r="J372" t="s">
        <v>25</v>
      </c>
    </row>
    <row r="373" spans="1:11">
      <c r="A373" s="97" t="s">
        <v>5235</v>
      </c>
      <c r="B373" s="111">
        <v>4100000</v>
      </c>
      <c r="C373" s="97">
        <v>1</v>
      </c>
      <c r="D373" s="97">
        <f t="shared" si="28"/>
        <v>150</v>
      </c>
      <c r="E373" s="97">
        <f t="shared" si="29"/>
        <v>0</v>
      </c>
      <c r="F373" s="97">
        <f t="shared" si="30"/>
        <v>615000000</v>
      </c>
      <c r="G373" s="97"/>
    </row>
    <row r="374" spans="1:11">
      <c r="A374" s="97" t="s">
        <v>5238</v>
      </c>
      <c r="B374" s="111">
        <v>-3642549</v>
      </c>
      <c r="C374" s="97">
        <v>3</v>
      </c>
      <c r="D374" s="97">
        <f t="shared" si="28"/>
        <v>149</v>
      </c>
      <c r="E374" s="97">
        <f t="shared" si="29"/>
        <v>0</v>
      </c>
      <c r="F374" s="97">
        <f t="shared" si="30"/>
        <v>-542739801</v>
      </c>
      <c r="G374" s="97"/>
    </row>
    <row r="375" spans="1:11">
      <c r="A375" s="97" t="s">
        <v>5247</v>
      </c>
      <c r="B375" s="111">
        <v>-317091</v>
      </c>
      <c r="C375" s="97">
        <v>1</v>
      </c>
      <c r="D375" s="97">
        <f t="shared" si="28"/>
        <v>146</v>
      </c>
      <c r="E375" s="97">
        <f t="shared" si="29"/>
        <v>0</v>
      </c>
      <c r="F375" s="97">
        <f t="shared" si="30"/>
        <v>-46295286</v>
      </c>
      <c r="G375" s="97"/>
    </row>
    <row r="376" spans="1:11">
      <c r="A376" s="97" t="s">
        <v>5240</v>
      </c>
      <c r="B376" s="111">
        <v>-1600000</v>
      </c>
      <c r="C376" s="97">
        <v>1</v>
      </c>
      <c r="D376" s="97">
        <f t="shared" si="28"/>
        <v>145</v>
      </c>
      <c r="E376" s="97">
        <f t="shared" si="29"/>
        <v>0</v>
      </c>
      <c r="F376" s="97">
        <f t="shared" si="30"/>
        <v>-232000000</v>
      </c>
      <c r="G376" s="97"/>
    </row>
    <row r="377" spans="1:11">
      <c r="A377" s="97" t="s">
        <v>5242</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5316</v>
      </c>
      <c r="B379" s="111">
        <v>10000000</v>
      </c>
      <c r="C379" s="97">
        <v>0</v>
      </c>
      <c r="D379" s="97">
        <f t="shared" si="31"/>
        <v>121</v>
      </c>
      <c r="E379" s="97">
        <f t="shared" si="32"/>
        <v>0</v>
      </c>
      <c r="F379" s="97">
        <f t="shared" si="33"/>
        <v>1210000000</v>
      </c>
      <c r="G379" s="97"/>
    </row>
    <row r="380" spans="1:11">
      <c r="A380" s="97" t="s">
        <v>5316</v>
      </c>
      <c r="B380" s="111">
        <v>-3000000</v>
      </c>
      <c r="C380" s="97">
        <v>0</v>
      </c>
      <c r="D380" s="97">
        <f t="shared" si="31"/>
        <v>121</v>
      </c>
      <c r="E380" s="97">
        <f t="shared" si="32"/>
        <v>0</v>
      </c>
      <c r="F380" s="97">
        <f t="shared" si="33"/>
        <v>-363000000</v>
      </c>
      <c r="G380" s="97"/>
    </row>
    <row r="381" spans="1:11">
      <c r="A381" s="97" t="s">
        <v>5316</v>
      </c>
      <c r="B381" s="111">
        <v>-3971300</v>
      </c>
      <c r="C381" s="97">
        <v>7</v>
      </c>
      <c r="D381" s="97">
        <f t="shared" si="31"/>
        <v>121</v>
      </c>
      <c r="E381" s="97">
        <f t="shared" si="32"/>
        <v>0</v>
      </c>
      <c r="F381" s="97">
        <f t="shared" si="33"/>
        <v>-480527300</v>
      </c>
      <c r="G381" s="97"/>
    </row>
    <row r="382" spans="1:11">
      <c r="A382" s="97" t="s">
        <v>5330</v>
      </c>
      <c r="B382" s="111">
        <v>-2472422</v>
      </c>
      <c r="C382" s="97">
        <v>2</v>
      </c>
      <c r="D382" s="97">
        <f t="shared" si="31"/>
        <v>114</v>
      </c>
      <c r="E382" s="97">
        <f t="shared" si="32"/>
        <v>0</v>
      </c>
      <c r="F382" s="97">
        <f t="shared" si="33"/>
        <v>-281856108</v>
      </c>
      <c r="G382" s="97"/>
    </row>
    <row r="383" spans="1:11">
      <c r="A383" s="97" t="s">
        <v>5354</v>
      </c>
      <c r="B383" s="111">
        <v>-345000</v>
      </c>
      <c r="C383" s="97">
        <v>1</v>
      </c>
      <c r="D383" s="97">
        <f t="shared" si="31"/>
        <v>112</v>
      </c>
      <c r="E383" s="97">
        <f t="shared" si="32"/>
        <v>0</v>
      </c>
      <c r="F383" s="97">
        <f t="shared" si="33"/>
        <v>-38640000</v>
      </c>
      <c r="G383" s="97"/>
    </row>
    <row r="384" spans="1:11">
      <c r="A384" s="97" t="s">
        <v>5355</v>
      </c>
      <c r="B384" s="111">
        <v>-200000</v>
      </c>
      <c r="C384" s="97">
        <v>10</v>
      </c>
      <c r="D384" s="97">
        <f t="shared" si="31"/>
        <v>111</v>
      </c>
      <c r="E384" s="97">
        <f t="shared" si="32"/>
        <v>1</v>
      </c>
      <c r="F384" s="97">
        <f t="shared" si="33"/>
        <v>-22000000</v>
      </c>
      <c r="G384" s="97"/>
    </row>
    <row r="385" spans="1:10">
      <c r="A385" s="97" t="s">
        <v>5350</v>
      </c>
      <c r="B385" s="111">
        <v>800000</v>
      </c>
      <c r="C385" s="97">
        <v>0</v>
      </c>
      <c r="D385" s="97">
        <f t="shared" si="31"/>
        <v>101</v>
      </c>
      <c r="E385" s="97">
        <f t="shared" si="32"/>
        <v>0</v>
      </c>
      <c r="F385" s="97">
        <f t="shared" si="33"/>
        <v>80800000</v>
      </c>
      <c r="G385" s="97"/>
    </row>
    <row r="386" spans="1:10">
      <c r="A386" s="97" t="s">
        <v>5350</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5356</v>
      </c>
      <c r="B389" s="111">
        <v>8000000</v>
      </c>
      <c r="C389" s="97">
        <v>1</v>
      </c>
      <c r="D389" s="97">
        <f t="shared" si="31"/>
        <v>99</v>
      </c>
      <c r="E389" s="97">
        <f t="shared" si="32"/>
        <v>0</v>
      </c>
      <c r="F389" s="97">
        <f t="shared" si="33"/>
        <v>792000000</v>
      </c>
      <c r="G389" s="97"/>
    </row>
    <row r="390" spans="1:10">
      <c r="A390" s="97" t="s">
        <v>5357</v>
      </c>
      <c r="B390" s="111">
        <v>-10000</v>
      </c>
      <c r="C390" s="97">
        <v>1</v>
      </c>
      <c r="D390" s="97">
        <f t="shared" si="31"/>
        <v>98</v>
      </c>
      <c r="E390" s="97">
        <f t="shared" si="32"/>
        <v>0</v>
      </c>
      <c r="F390" s="97">
        <f t="shared" si="33"/>
        <v>-980000</v>
      </c>
      <c r="G390" s="97"/>
    </row>
    <row r="391" spans="1:10">
      <c r="A391" s="97" t="s">
        <v>5358</v>
      </c>
      <c r="B391" s="111">
        <v>-88000</v>
      </c>
      <c r="C391" s="97">
        <v>1</v>
      </c>
      <c r="D391" s="97">
        <f t="shared" si="31"/>
        <v>97</v>
      </c>
      <c r="E391" s="97">
        <f t="shared" si="32"/>
        <v>0</v>
      </c>
      <c r="F391" s="97">
        <f t="shared" si="33"/>
        <v>-8536000</v>
      </c>
      <c r="G391" s="97"/>
    </row>
    <row r="392" spans="1:10">
      <c r="A392" s="97" t="s">
        <v>5359</v>
      </c>
      <c r="B392" s="111">
        <v>-297675</v>
      </c>
      <c r="C392" s="97">
        <v>3</v>
      </c>
      <c r="D392" s="97">
        <f t="shared" si="31"/>
        <v>96</v>
      </c>
      <c r="E392" s="97">
        <f t="shared" si="32"/>
        <v>0</v>
      </c>
      <c r="F392" s="97">
        <f t="shared" si="33"/>
        <v>-28576800</v>
      </c>
      <c r="G392" s="97"/>
    </row>
    <row r="393" spans="1:10">
      <c r="A393" s="97" t="s">
        <v>5351</v>
      </c>
      <c r="B393" s="111">
        <v>-10114121</v>
      </c>
      <c r="C393" s="97">
        <v>1</v>
      </c>
      <c r="D393" s="97">
        <f t="shared" si="31"/>
        <v>93</v>
      </c>
      <c r="E393" s="97">
        <f t="shared" si="32"/>
        <v>0</v>
      </c>
      <c r="F393" s="97">
        <f t="shared" si="33"/>
        <v>-940613253</v>
      </c>
      <c r="G393" s="97"/>
    </row>
    <row r="394" spans="1:10">
      <c r="A394" s="97" t="s">
        <v>5352</v>
      </c>
      <c r="B394" s="111">
        <v>-9000000</v>
      </c>
      <c r="C394" s="97">
        <v>1</v>
      </c>
      <c r="D394" s="97">
        <f t="shared" si="31"/>
        <v>92</v>
      </c>
      <c r="E394" s="97">
        <f t="shared" si="32"/>
        <v>0</v>
      </c>
      <c r="F394" s="97">
        <f t="shared" si="33"/>
        <v>-828000000</v>
      </c>
      <c r="G394" s="97"/>
      <c r="J394" s="112">
        <f>B422-743653+21500</f>
        <v>3919446</v>
      </c>
    </row>
    <row r="395" spans="1:10">
      <c r="A395" s="97" t="s">
        <v>5360</v>
      </c>
      <c r="B395" s="111">
        <v>-83930</v>
      </c>
      <c r="C395" s="97">
        <v>1</v>
      </c>
      <c r="D395" s="97">
        <f t="shared" si="31"/>
        <v>91</v>
      </c>
      <c r="E395" s="97">
        <f t="shared" si="32"/>
        <v>0</v>
      </c>
      <c r="F395" s="97">
        <f t="shared" si="33"/>
        <v>-7637630</v>
      </c>
      <c r="G395" s="97"/>
    </row>
    <row r="396" spans="1:10">
      <c r="A396" s="97" t="s">
        <v>5361</v>
      </c>
      <c r="B396" s="111">
        <v>-19520</v>
      </c>
      <c r="C396" s="97">
        <v>0</v>
      </c>
      <c r="D396" s="97">
        <f t="shared" si="31"/>
        <v>90</v>
      </c>
      <c r="E396" s="97">
        <f t="shared" si="32"/>
        <v>0</v>
      </c>
      <c r="F396" s="97">
        <f t="shared" si="33"/>
        <v>-1756800</v>
      </c>
      <c r="G396" s="97"/>
    </row>
    <row r="397" spans="1:10">
      <c r="A397" s="97" t="s">
        <v>5361</v>
      </c>
      <c r="B397" s="111">
        <v>-676034</v>
      </c>
      <c r="C397" s="97">
        <v>27</v>
      </c>
      <c r="D397" s="97">
        <f t="shared" si="31"/>
        <v>90</v>
      </c>
      <c r="E397" s="97">
        <f t="shared" si="32"/>
        <v>1</v>
      </c>
      <c r="F397" s="97">
        <f t="shared" si="33"/>
        <v>-60167026</v>
      </c>
      <c r="G397" s="97"/>
    </row>
    <row r="398" spans="1:10">
      <c r="A398" s="97" t="s">
        <v>5389</v>
      </c>
      <c r="B398" s="111">
        <v>2200000</v>
      </c>
      <c r="C398" s="97">
        <v>2</v>
      </c>
      <c r="D398" s="97">
        <f t="shared" si="31"/>
        <v>63</v>
      </c>
      <c r="E398" s="97">
        <f t="shared" si="32"/>
        <v>0</v>
      </c>
      <c r="F398" s="97">
        <f t="shared" si="33"/>
        <v>138600000</v>
      </c>
      <c r="G398" s="97"/>
    </row>
    <row r="399" spans="1:10">
      <c r="A399" s="97" t="s">
        <v>5394</v>
      </c>
      <c r="B399" s="111">
        <v>-2000000</v>
      </c>
      <c r="C399" s="97">
        <v>1</v>
      </c>
      <c r="D399" s="97">
        <f t="shared" si="31"/>
        <v>61</v>
      </c>
      <c r="E399" s="97">
        <f t="shared" si="32"/>
        <v>0</v>
      </c>
      <c r="F399" s="97">
        <f t="shared" si="33"/>
        <v>-122000000</v>
      </c>
      <c r="G399" s="97"/>
    </row>
    <row r="400" spans="1:10">
      <c r="A400" s="97" t="s">
        <v>5395</v>
      </c>
      <c r="B400" s="111">
        <v>-28400</v>
      </c>
      <c r="C400" s="97">
        <v>1</v>
      </c>
      <c r="D400" s="97">
        <f t="shared" si="31"/>
        <v>60</v>
      </c>
      <c r="E400" s="97">
        <f t="shared" si="32"/>
        <v>0</v>
      </c>
      <c r="F400" s="97">
        <f t="shared" si="33"/>
        <v>-1704000</v>
      </c>
      <c r="G400" s="97"/>
    </row>
    <row r="401" spans="1:15">
      <c r="A401" s="97" t="s">
        <v>5397</v>
      </c>
      <c r="B401" s="111">
        <v>-126475</v>
      </c>
      <c r="C401" s="97">
        <v>1</v>
      </c>
      <c r="D401" s="97">
        <f t="shared" si="31"/>
        <v>59</v>
      </c>
      <c r="E401" s="97">
        <f t="shared" si="32"/>
        <v>0</v>
      </c>
      <c r="F401" s="97">
        <f t="shared" si="33"/>
        <v>-7462025</v>
      </c>
      <c r="G401" s="97"/>
    </row>
    <row r="402" spans="1:15">
      <c r="A402" s="97" t="s">
        <v>5396</v>
      </c>
      <c r="B402" s="111">
        <v>-32807</v>
      </c>
      <c r="C402" s="97">
        <v>4</v>
      </c>
      <c r="D402" s="97">
        <f t="shared" si="31"/>
        <v>58</v>
      </c>
      <c r="E402" s="97">
        <f t="shared" si="32"/>
        <v>0</v>
      </c>
      <c r="F402" s="97">
        <f t="shared" si="33"/>
        <v>-1902806</v>
      </c>
      <c r="G402" s="97"/>
    </row>
    <row r="403" spans="1:15">
      <c r="A403" s="97" t="s">
        <v>5400</v>
      </c>
      <c r="B403" s="111">
        <v>-11700</v>
      </c>
      <c r="C403" s="97">
        <v>7</v>
      </c>
      <c r="D403" s="97">
        <f t="shared" si="31"/>
        <v>54</v>
      </c>
      <c r="E403" s="97">
        <f t="shared" si="32"/>
        <v>1</v>
      </c>
      <c r="F403" s="97">
        <f t="shared" si="33"/>
        <v>-620100</v>
      </c>
      <c r="G403" s="97"/>
    </row>
    <row r="404" spans="1:15">
      <c r="A404" s="97" t="s">
        <v>5409</v>
      </c>
      <c r="B404" s="111">
        <v>5032773</v>
      </c>
      <c r="C404" s="97">
        <v>0</v>
      </c>
      <c r="D404" s="97">
        <f t="shared" si="31"/>
        <v>47</v>
      </c>
      <c r="E404" s="97">
        <f t="shared" si="32"/>
        <v>0</v>
      </c>
      <c r="F404" s="97">
        <f t="shared" si="33"/>
        <v>236540331</v>
      </c>
      <c r="G404" s="97"/>
    </row>
    <row r="405" spans="1:15">
      <c r="A405" s="97" t="s">
        <v>5409</v>
      </c>
      <c r="B405" s="111">
        <v>-5000000</v>
      </c>
      <c r="C405" s="97">
        <v>13</v>
      </c>
      <c r="D405" s="97">
        <f t="shared" si="31"/>
        <v>47</v>
      </c>
      <c r="E405" s="97">
        <f t="shared" si="32"/>
        <v>1</v>
      </c>
      <c r="F405" s="97">
        <f t="shared" si="33"/>
        <v>-230000000</v>
      </c>
      <c r="G405" s="97"/>
    </row>
    <row r="406" spans="1:15">
      <c r="A406" s="97" t="s">
        <v>5439</v>
      </c>
      <c r="B406" s="111">
        <v>1200000</v>
      </c>
      <c r="C406" s="97">
        <v>1</v>
      </c>
      <c r="D406" s="97">
        <f t="shared" si="31"/>
        <v>34</v>
      </c>
      <c r="E406" s="97">
        <f t="shared" si="32"/>
        <v>0</v>
      </c>
      <c r="F406" s="97">
        <f t="shared" si="33"/>
        <v>40800000</v>
      </c>
      <c r="G406" s="97"/>
    </row>
    <row r="407" spans="1:15">
      <c r="A407" s="97" t="s">
        <v>5424</v>
      </c>
      <c r="B407" s="111">
        <v>-1200000</v>
      </c>
      <c r="C407" s="97">
        <v>0</v>
      </c>
      <c r="D407" s="97">
        <f t="shared" si="31"/>
        <v>33</v>
      </c>
      <c r="E407" s="97">
        <f t="shared" si="32"/>
        <v>0</v>
      </c>
      <c r="F407" s="97">
        <f t="shared" si="33"/>
        <v>-39600000</v>
      </c>
      <c r="G407" s="97"/>
      <c r="O407" t="s">
        <v>25</v>
      </c>
    </row>
    <row r="408" spans="1:15">
      <c r="A408" s="97" t="s">
        <v>5424</v>
      </c>
      <c r="B408" s="111">
        <v>-784</v>
      </c>
      <c r="C408" s="97">
        <v>1</v>
      </c>
      <c r="D408" s="97">
        <f t="shared" si="31"/>
        <v>33</v>
      </c>
      <c r="E408" s="97">
        <f t="shared" si="32"/>
        <v>0</v>
      </c>
      <c r="F408" s="97">
        <f t="shared" si="33"/>
        <v>-25872</v>
      </c>
      <c r="G408" s="97" t="s">
        <v>5440</v>
      </c>
    </row>
    <row r="409" spans="1:15">
      <c r="A409" s="97" t="s">
        <v>5473</v>
      </c>
      <c r="B409" s="111">
        <v>-37927</v>
      </c>
      <c r="C409" s="97">
        <v>30</v>
      </c>
      <c r="D409" s="97">
        <f t="shared" si="31"/>
        <v>32</v>
      </c>
      <c r="E409" s="97">
        <f t="shared" si="32"/>
        <v>1</v>
      </c>
      <c r="F409" s="97">
        <f t="shared" si="33"/>
        <v>-1175737</v>
      </c>
      <c r="G409" s="97"/>
    </row>
    <row r="410" spans="1:15">
      <c r="A410" s="97" t="s">
        <v>5475</v>
      </c>
      <c r="B410" s="111">
        <v>5000000</v>
      </c>
      <c r="C410" s="97">
        <v>0</v>
      </c>
      <c r="D410" s="97">
        <f t="shared" si="31"/>
        <v>2</v>
      </c>
      <c r="E410" s="97">
        <f t="shared" si="32"/>
        <v>0</v>
      </c>
      <c r="F410" s="97">
        <f t="shared" si="33"/>
        <v>10000000</v>
      </c>
      <c r="G410" s="97"/>
    </row>
    <row r="411" spans="1:15">
      <c r="A411" s="97" t="s">
        <v>5475</v>
      </c>
      <c r="B411" s="111">
        <v>-1620700</v>
      </c>
      <c r="C411" s="97">
        <v>1</v>
      </c>
      <c r="D411" s="97">
        <f t="shared" si="31"/>
        <v>2</v>
      </c>
      <c r="E411" s="97">
        <f t="shared" si="32"/>
        <v>1</v>
      </c>
      <c r="F411" s="97">
        <f t="shared" si="33"/>
        <v>-1620700</v>
      </c>
      <c r="G411" s="97"/>
    </row>
    <row r="412" spans="1:15">
      <c r="A412" s="97" t="s">
        <v>5477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R19" sqref="R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4653</v>
      </c>
      <c r="L15">
        <v>451474</v>
      </c>
      <c r="M15" s="225" t="s">
        <v>4795</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5741</v>
      </c>
      <c r="O19" t="s">
        <v>6898</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6942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4995</v>
      </c>
      <c r="L33" t="s">
        <v>4996</v>
      </c>
      <c r="M33" t="s">
        <v>4997</v>
      </c>
      <c r="N33" t="s">
        <v>4998</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5000</v>
      </c>
      <c r="M34" t="s">
        <v>5001</v>
      </c>
      <c r="N34" t="s">
        <v>4999</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4511</v>
      </c>
      <c r="B192" s="38">
        <v>100000</v>
      </c>
      <c r="C192" s="71" t="s">
        <v>3873</v>
      </c>
      <c r="D192" s="97">
        <v>87</v>
      </c>
      <c r="E192" s="97">
        <f t="shared" si="9"/>
        <v>88</v>
      </c>
      <c r="F192" s="97">
        <f t="shared" si="5"/>
        <v>1</v>
      </c>
      <c r="G192" s="97">
        <f t="shared" si="4"/>
        <v>8700000</v>
      </c>
    </row>
    <row r="193" spans="1:7">
      <c r="A193" s="11" t="s">
        <v>4751</v>
      </c>
      <c r="B193" s="38">
        <v>-25000</v>
      </c>
      <c r="C193" s="11" t="s">
        <v>4758</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12"/>
  <sheetViews>
    <sheetView tabSelected="1" topLeftCell="F57" zoomScale="85" zoomScaleNormal="85" workbookViewId="0">
      <selection activeCell="K81" sqref="K81"/>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5703125" bestFit="1" customWidth="1"/>
    <col min="17" max="17" width="15.7109375" style="372"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20.5703125"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4988</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470"/>
      <c r="N19" s="471"/>
      <c r="O19" s="407"/>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97"/>
      <c r="N20" s="97"/>
      <c r="O20" s="97"/>
      <c r="P20" s="97"/>
      <c r="R20" s="167">
        <v>9268987</v>
      </c>
      <c r="S20" s="166" t="s">
        <v>4149</v>
      </c>
      <c r="T20" s="189">
        <f>T97</f>
        <v>1339</v>
      </c>
      <c r="U20" s="166" t="s">
        <v>4280</v>
      </c>
      <c r="V20" s="166">
        <v>192.1</v>
      </c>
      <c r="W20" s="166">
        <f t="shared" ref="W20:W59" si="6">V20*(1+$S$93+$R$15*T20/36500)</f>
        <v>392.34082958904105</v>
      </c>
      <c r="X20" s="32">
        <f t="shared" ref="X20:X26" si="7">W20*(1+$X$19/100)</f>
        <v>400.1876461808219</v>
      </c>
      <c r="Y20" s="32">
        <f t="shared" ref="Y20:Y26" si="8">W20*(1+$Y$19/100)</f>
        <v>408.03446277260269</v>
      </c>
      <c r="Z20" s="113">
        <v>48028</v>
      </c>
      <c r="AA20" s="113"/>
      <c r="AI20" s="97">
        <v>1</v>
      </c>
      <c r="AJ20" s="111" t="s">
        <v>1090</v>
      </c>
      <c r="AK20" s="111">
        <v>18000000</v>
      </c>
      <c r="AL20" s="97">
        <v>1</v>
      </c>
      <c r="AM20" s="97">
        <f>AM21+AL20</f>
        <v>1390</v>
      </c>
      <c r="AN20" s="111">
        <f>AK20*AM20</f>
        <v>25020000000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97" t="s">
        <v>6932</v>
      </c>
      <c r="N21" s="111">
        <v>1082</v>
      </c>
      <c r="O21" s="97"/>
      <c r="P21" s="97"/>
      <c r="R21" s="167">
        <v>1353959</v>
      </c>
      <c r="S21" s="166" t="s">
        <v>4388</v>
      </c>
      <c r="T21" s="194">
        <f>T20-59</f>
        <v>1280</v>
      </c>
      <c r="U21" s="19" t="s">
        <v>4421</v>
      </c>
      <c r="V21" s="166">
        <v>192.2</v>
      </c>
      <c r="W21" s="166">
        <f t="shared" si="6"/>
        <v>383.84604273972599</v>
      </c>
      <c r="X21" s="32">
        <f t="shared" si="7"/>
        <v>391.52296359452049</v>
      </c>
      <c r="Y21" s="32">
        <f t="shared" si="8"/>
        <v>399.19988444931505</v>
      </c>
      <c r="Z21" s="113">
        <v>7012</v>
      </c>
      <c r="AA21" s="113"/>
      <c r="AI21" s="97">
        <v>2</v>
      </c>
      <c r="AJ21" s="111" t="s">
        <v>1092</v>
      </c>
      <c r="AK21" s="111">
        <v>2500000</v>
      </c>
      <c r="AL21" s="97">
        <v>1</v>
      </c>
      <c r="AM21" s="97">
        <f t="shared" ref="AM21:AM63" si="9">AM22+AL21</f>
        <v>1389</v>
      </c>
      <c r="AN21" s="111">
        <f t="shared" ref="AN21:AN120" si="10">AK21*AM21</f>
        <v>3472500000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97" t="s">
        <v>6933</v>
      </c>
      <c r="N22" s="111">
        <f>O22*P22</f>
        <v>120905903</v>
      </c>
      <c r="O22" s="97">
        <v>82193</v>
      </c>
      <c r="P22" s="97">
        <f>P51</f>
        <v>1471</v>
      </c>
      <c r="R22" s="167">
        <v>1614398</v>
      </c>
      <c r="S22" s="166" t="s">
        <v>4394</v>
      </c>
      <c r="T22" s="166">
        <f>T21-3</f>
        <v>1277</v>
      </c>
      <c r="U22" s="19" t="s">
        <v>5588</v>
      </c>
      <c r="V22" s="166">
        <v>184.6</v>
      </c>
      <c r="W22" s="166">
        <f t="shared" si="6"/>
        <v>368.24311452054792</v>
      </c>
      <c r="X22" s="32">
        <f t="shared" si="7"/>
        <v>375.60797681095886</v>
      </c>
      <c r="Y22" s="32">
        <f t="shared" si="8"/>
        <v>382.97283910136986</v>
      </c>
      <c r="Z22" s="113">
        <v>8705</v>
      </c>
      <c r="AA22" s="113"/>
      <c r="AI22" s="97">
        <v>3</v>
      </c>
      <c r="AJ22" s="111" t="s">
        <v>1101</v>
      </c>
      <c r="AK22" s="111">
        <v>8000000</v>
      </c>
      <c r="AL22" s="97">
        <v>1</v>
      </c>
      <c r="AM22" s="97">
        <f t="shared" si="9"/>
        <v>1388</v>
      </c>
      <c r="AN22" s="111">
        <f t="shared" si="10"/>
        <v>11104000000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97" t="s">
        <v>6934</v>
      </c>
      <c r="N23" s="111">
        <f>O23*P23</f>
        <v>6438834</v>
      </c>
      <c r="O23" s="97">
        <v>11457</v>
      </c>
      <c r="P23" s="97">
        <f>P52</f>
        <v>562</v>
      </c>
      <c r="R23" s="167">
        <v>133576</v>
      </c>
      <c r="S23" s="166" t="s">
        <v>4458</v>
      </c>
      <c r="T23" s="193">
        <f>T22-22</f>
        <v>1255</v>
      </c>
      <c r="U23" s="166" t="s">
        <v>4459</v>
      </c>
      <c r="V23" s="166">
        <v>166.2</v>
      </c>
      <c r="W23" s="166">
        <f t="shared" si="6"/>
        <v>328.73358246575344</v>
      </c>
      <c r="X23" s="32">
        <f t="shared" si="7"/>
        <v>335.30825411506851</v>
      </c>
      <c r="Y23" s="32">
        <f t="shared" si="8"/>
        <v>341.88292576438357</v>
      </c>
      <c r="Z23" s="120">
        <v>800</v>
      </c>
      <c r="AA23" s="94"/>
      <c r="AI23" s="97">
        <v>4</v>
      </c>
      <c r="AJ23" s="111" t="s">
        <v>4036</v>
      </c>
      <c r="AK23" s="111">
        <v>-79552</v>
      </c>
      <c r="AL23" s="97">
        <v>1</v>
      </c>
      <c r="AM23" s="97">
        <f t="shared" si="9"/>
        <v>1387</v>
      </c>
      <c r="AN23" s="111">
        <f t="shared" si="10"/>
        <v>-110338624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58907677.004975319</v>
      </c>
      <c r="G24" s="93">
        <f t="shared" si="0"/>
        <v>221398668.37696332</v>
      </c>
      <c r="H24" s="11"/>
      <c r="I24" s="94"/>
      <c r="J24" s="94"/>
      <c r="K24" s="205"/>
      <c r="L24" s="115"/>
      <c r="M24" s="97"/>
      <c r="N24" s="97"/>
      <c r="O24" s="97"/>
      <c r="P24" s="97"/>
      <c r="R24" s="167">
        <v>220803</v>
      </c>
      <c r="S24" s="166" t="s">
        <v>4204</v>
      </c>
      <c r="T24" s="193">
        <f>T23-1</f>
        <v>1254</v>
      </c>
      <c r="U24" s="166" t="s">
        <v>4465</v>
      </c>
      <c r="V24" s="166">
        <v>166</v>
      </c>
      <c r="W24" s="166">
        <f t="shared" si="6"/>
        <v>328.21065205479454</v>
      </c>
      <c r="X24" s="32">
        <f t="shared" si="7"/>
        <v>334.77486509589045</v>
      </c>
      <c r="Y24" s="32">
        <f t="shared" si="8"/>
        <v>341.3390781369863</v>
      </c>
      <c r="Z24" s="120">
        <v>1326</v>
      </c>
      <c r="AA24" s="94"/>
      <c r="AI24" s="97">
        <v>5</v>
      </c>
      <c r="AJ24" s="111" t="s">
        <v>1113</v>
      </c>
      <c r="AK24" s="111">
        <v>165500</v>
      </c>
      <c r="AL24" s="97">
        <v>12</v>
      </c>
      <c r="AM24" s="97">
        <f t="shared" si="9"/>
        <v>1386</v>
      </c>
      <c r="AN24" s="111">
        <f t="shared" si="10"/>
        <v>229383000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97"/>
      <c r="N25" s="97"/>
      <c r="O25" s="97"/>
      <c r="P25" s="97"/>
      <c r="R25" s="167">
        <v>1023940</v>
      </c>
      <c r="S25" s="166" t="s">
        <v>4466</v>
      </c>
      <c r="T25" s="193">
        <f>T24-2</f>
        <v>1252</v>
      </c>
      <c r="U25" s="166" t="s">
        <v>4472</v>
      </c>
      <c r="V25" s="166">
        <v>160.19999999999999</v>
      </c>
      <c r="W25" s="166">
        <f t="shared" si="6"/>
        <v>316.49726465753423</v>
      </c>
      <c r="X25" s="32">
        <f t="shared" si="7"/>
        <v>322.8272099506849</v>
      </c>
      <c r="Y25" s="32">
        <f t="shared" si="8"/>
        <v>329.15715524383563</v>
      </c>
      <c r="Z25" s="120">
        <v>6362</v>
      </c>
      <c r="AA25" s="94" t="s">
        <v>25</v>
      </c>
      <c r="AI25" s="97">
        <v>6</v>
      </c>
      <c r="AJ25" s="111" t="s">
        <v>1138</v>
      </c>
      <c r="AK25" s="111">
        <v>-28830327</v>
      </c>
      <c r="AL25" s="97">
        <v>6</v>
      </c>
      <c r="AM25" s="97">
        <f t="shared" si="9"/>
        <v>1374</v>
      </c>
      <c r="AN25" s="111">
        <f t="shared" si="10"/>
        <v>-39612869298</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97"/>
      <c r="N26" s="97"/>
      <c r="O26" s="97"/>
      <c r="P26" s="97"/>
      <c r="R26" s="167">
        <v>168846</v>
      </c>
      <c r="S26" s="166" t="s">
        <v>3673</v>
      </c>
      <c r="T26" s="193">
        <f>T25-28</f>
        <v>1224</v>
      </c>
      <c r="U26" s="166" t="s">
        <v>4546</v>
      </c>
      <c r="V26" s="166">
        <v>172.2</v>
      </c>
      <c r="W26" s="166">
        <f t="shared" si="6"/>
        <v>336.5061632876712</v>
      </c>
      <c r="X26" s="32">
        <f t="shared" si="7"/>
        <v>343.23628655342463</v>
      </c>
      <c r="Y26" s="32">
        <f t="shared" si="8"/>
        <v>349.96640981917807</v>
      </c>
      <c r="Z26" s="120">
        <v>976</v>
      </c>
      <c r="AA26" s="94"/>
      <c r="AI26" s="97">
        <v>7</v>
      </c>
      <c r="AJ26" s="111" t="s">
        <v>1163</v>
      </c>
      <c r="AK26" s="111">
        <v>18500000</v>
      </c>
      <c r="AL26" s="97">
        <v>1</v>
      </c>
      <c r="AM26" s="97">
        <f t="shared" si="9"/>
        <v>1368</v>
      </c>
      <c r="AN26" s="111">
        <f t="shared" si="10"/>
        <v>25308000000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6835</v>
      </c>
      <c r="N27" s="111">
        <v>1281</v>
      </c>
      <c r="O27" s="97"/>
      <c r="P27" s="93"/>
      <c r="R27" s="167">
        <v>1563192</v>
      </c>
      <c r="S27" s="205" t="s">
        <v>4639</v>
      </c>
      <c r="T27" s="193">
        <f>T26-33</f>
        <v>1191</v>
      </c>
      <c r="U27" s="205" t="s">
        <v>4640</v>
      </c>
      <c r="V27" s="205">
        <v>168.8</v>
      </c>
      <c r="W27" s="205">
        <f t="shared" si="6"/>
        <v>325.5888394520548</v>
      </c>
      <c r="X27" s="32">
        <f t="shared" ref="X27:X46" si="12">W27*(1+$X$19/100)</f>
        <v>332.10061624109591</v>
      </c>
      <c r="Y27" s="32">
        <f t="shared" ref="Y27:Y46" si="13">W27*(1+$Y$19/100)</f>
        <v>338.61239303013701</v>
      </c>
      <c r="Z27" s="120">
        <v>9222</v>
      </c>
      <c r="AA27" s="94"/>
      <c r="AI27" s="97">
        <v>8</v>
      </c>
      <c r="AJ27" s="111" t="s">
        <v>1172</v>
      </c>
      <c r="AK27" s="111">
        <v>-18550000</v>
      </c>
      <c r="AL27" s="97">
        <v>1</v>
      </c>
      <c r="AM27" s="97">
        <f t="shared" si="9"/>
        <v>1367</v>
      </c>
      <c r="AN27" s="111">
        <f t="shared" si="10"/>
        <v>-25357850000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205" t="s">
        <v>6836</v>
      </c>
      <c r="N28" s="111">
        <f>O28*P28</f>
        <v>600615184</v>
      </c>
      <c r="O28" s="97">
        <v>408304</v>
      </c>
      <c r="P28" s="93">
        <f>P51</f>
        <v>1471</v>
      </c>
      <c r="R28" s="167">
        <v>1204691</v>
      </c>
      <c r="S28" s="205" t="s">
        <v>4841</v>
      </c>
      <c r="T28" s="193">
        <f>T27-76</f>
        <v>1115</v>
      </c>
      <c r="U28" s="205" t="s">
        <v>4842</v>
      </c>
      <c r="V28" s="205">
        <v>218.5</v>
      </c>
      <c r="W28" s="205">
        <f t="shared" si="6"/>
        <v>408.71352876712331</v>
      </c>
      <c r="X28" s="32">
        <f t="shared" si="12"/>
        <v>416.88779934246577</v>
      </c>
      <c r="Y28" s="32">
        <f t="shared" si="13"/>
        <v>425.06206991780823</v>
      </c>
      <c r="Z28" s="120">
        <v>5488</v>
      </c>
      <c r="AA28" s="94"/>
      <c r="AI28" s="97">
        <v>9</v>
      </c>
      <c r="AJ28" s="111" t="s">
        <v>1179</v>
      </c>
      <c r="AK28" s="111">
        <v>-64961</v>
      </c>
      <c r="AL28" s="97">
        <v>5</v>
      </c>
      <c r="AM28" s="97">
        <f t="shared" si="9"/>
        <v>1366</v>
      </c>
      <c r="AN28" s="111">
        <f t="shared" si="10"/>
        <v>-88736726</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6837</v>
      </c>
      <c r="N29" s="111">
        <f>O29*P29</f>
        <v>20153320</v>
      </c>
      <c r="O29" s="97">
        <v>35860</v>
      </c>
      <c r="P29" s="93">
        <f>P52</f>
        <v>562</v>
      </c>
      <c r="R29" s="167">
        <v>15011877</v>
      </c>
      <c r="S29" s="205" t="s">
        <v>4844</v>
      </c>
      <c r="T29" s="193">
        <f>T28-3</f>
        <v>1112</v>
      </c>
      <c r="U29" s="205" t="s">
        <v>4848</v>
      </c>
      <c r="V29" s="205">
        <v>197.1</v>
      </c>
      <c r="W29" s="205">
        <f t="shared" si="6"/>
        <v>368.23032000000001</v>
      </c>
      <c r="X29" s="32">
        <f t="shared" si="12"/>
        <v>375.59492640000002</v>
      </c>
      <c r="Y29" s="32">
        <f t="shared" si="13"/>
        <v>382.95953280000003</v>
      </c>
      <c r="Z29" s="120">
        <v>75812</v>
      </c>
      <c r="AA29" s="94"/>
      <c r="AI29" s="97">
        <v>10</v>
      </c>
      <c r="AJ29" s="111" t="s">
        <v>1195</v>
      </c>
      <c r="AK29" s="111">
        <v>6400000</v>
      </c>
      <c r="AL29" s="97">
        <v>1</v>
      </c>
      <c r="AM29" s="97">
        <f t="shared" si="9"/>
        <v>1361</v>
      </c>
      <c r="AN29" s="111">
        <f t="shared" si="10"/>
        <v>8710400000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c r="N30" s="111"/>
      <c r="O30" s="112"/>
      <c r="P30" s="407"/>
      <c r="R30" s="167">
        <v>7046042.5001907032</v>
      </c>
      <c r="S30" s="205" t="s">
        <v>4855</v>
      </c>
      <c r="T30" s="193">
        <f>T29-5</f>
        <v>1107</v>
      </c>
      <c r="U30" s="205" t="s">
        <v>5554</v>
      </c>
      <c r="V30" s="205">
        <v>194.4</v>
      </c>
      <c r="W30" s="205">
        <f t="shared" si="6"/>
        <v>362.44042520547953</v>
      </c>
      <c r="X30" s="32">
        <f t="shared" si="12"/>
        <v>369.68923370958913</v>
      </c>
      <c r="Y30" s="32">
        <f t="shared" si="13"/>
        <v>376.93804221369874</v>
      </c>
      <c r="Z30" s="120">
        <v>36073</v>
      </c>
      <c r="AA30" s="94"/>
      <c r="AI30" s="97">
        <v>11</v>
      </c>
      <c r="AJ30" s="111" t="s">
        <v>4037</v>
      </c>
      <c r="AK30" s="111">
        <v>-170000</v>
      </c>
      <c r="AL30" s="97">
        <v>5</v>
      </c>
      <c r="AM30" s="97">
        <f t="shared" si="9"/>
        <v>1360</v>
      </c>
      <c r="AN30" s="111">
        <f t="shared" si="10"/>
        <v>-231200000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166" t="s">
        <v>6962</v>
      </c>
      <c r="N31" s="111">
        <v>302</v>
      </c>
      <c r="O31" s="97" t="s">
        <v>920</v>
      </c>
      <c r="P31" s="97" t="s">
        <v>3911</v>
      </c>
      <c r="Q31" s="67"/>
      <c r="R31" s="167">
        <v>5368238</v>
      </c>
      <c r="S31" s="205" t="s">
        <v>5560</v>
      </c>
      <c r="T31" s="193">
        <f>T30-465</f>
        <v>642</v>
      </c>
      <c r="U31" s="205" t="s">
        <v>5561</v>
      </c>
      <c r="V31" s="205">
        <v>1843</v>
      </c>
      <c r="W31" s="205">
        <f t="shared" si="6"/>
        <v>2778.678476712329</v>
      </c>
      <c r="X31" s="32">
        <f t="shared" si="12"/>
        <v>2834.2520462465754</v>
      </c>
      <c r="Y31" s="32">
        <f t="shared" si="13"/>
        <v>2889.8256157808223</v>
      </c>
      <c r="Z31">
        <v>2902</v>
      </c>
      <c r="AB31" s="94"/>
      <c r="AI31" s="97">
        <v>12</v>
      </c>
      <c r="AJ31" s="111" t="s">
        <v>1215</v>
      </c>
      <c r="AK31" s="111">
        <v>-6300000</v>
      </c>
      <c r="AL31" s="97">
        <v>1</v>
      </c>
      <c r="AM31" s="97">
        <f>AM32+AL31</f>
        <v>1355</v>
      </c>
      <c r="AN31" s="111">
        <f t="shared" si="10"/>
        <v>-8536500000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6256</v>
      </c>
      <c r="N32" s="111">
        <f t="shared" ref="N32:N37" si="14">O32*P32</f>
        <v>0</v>
      </c>
      <c r="O32" s="97">
        <v>0</v>
      </c>
      <c r="P32" s="183">
        <v>1</v>
      </c>
      <c r="Q32" s="67"/>
      <c r="R32" s="167">
        <v>40195775</v>
      </c>
      <c r="S32" s="205" t="s">
        <v>5562</v>
      </c>
      <c r="T32" s="193">
        <f>T31-3</f>
        <v>639</v>
      </c>
      <c r="U32" s="205" t="s">
        <v>5563</v>
      </c>
      <c r="V32" s="205">
        <v>1751</v>
      </c>
      <c r="W32" s="205">
        <f t="shared" si="6"/>
        <v>2635.9410082191785</v>
      </c>
      <c r="X32" s="32">
        <f t="shared" si="12"/>
        <v>2688.6598283835619</v>
      </c>
      <c r="Y32" s="32">
        <f t="shared" si="13"/>
        <v>2741.3786485479459</v>
      </c>
      <c r="Z32">
        <v>22871</v>
      </c>
      <c r="AI32" s="97">
        <v>13</v>
      </c>
      <c r="AJ32" s="111" t="s">
        <v>1224</v>
      </c>
      <c r="AK32" s="111">
        <v>-52015</v>
      </c>
      <c r="AL32" s="97">
        <v>16</v>
      </c>
      <c r="AM32" s="97">
        <f t="shared" si="9"/>
        <v>1354</v>
      </c>
      <c r="AN32" s="111">
        <f t="shared" si="10"/>
        <v>-70428310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6699</v>
      </c>
      <c r="L33" s="115">
        <f>-'فروردین 98'!D176</f>
        <v>3846463</v>
      </c>
      <c r="M33" s="166" t="s">
        <v>4272</v>
      </c>
      <c r="N33" s="111">
        <f t="shared" si="14"/>
        <v>4484528846</v>
      </c>
      <c r="O33" s="97">
        <f>SUM(Z20:Z61)</f>
        <v>3048626</v>
      </c>
      <c r="P33" s="183">
        <f>P51</f>
        <v>1471</v>
      </c>
      <c r="Q33" s="67">
        <f>N33*100/$S$170</f>
        <v>35.411058824393336</v>
      </c>
      <c r="R33" s="167">
        <v>16176504</v>
      </c>
      <c r="S33" s="205" t="s">
        <v>5564</v>
      </c>
      <c r="T33" s="193">
        <f>T32-1</f>
        <v>638</v>
      </c>
      <c r="U33" s="205" t="s">
        <v>5565</v>
      </c>
      <c r="V33" s="205">
        <v>1730</v>
      </c>
      <c r="W33" s="205">
        <f t="shared" si="6"/>
        <v>2603.0006575342468</v>
      </c>
      <c r="X33" s="32">
        <f t="shared" si="12"/>
        <v>2655.0606706849317</v>
      </c>
      <c r="Y33" s="32">
        <f t="shared" si="13"/>
        <v>2707.1206838356165</v>
      </c>
      <c r="Z33">
        <v>9316</v>
      </c>
      <c r="AA33" t="s">
        <v>25</v>
      </c>
      <c r="AB33" s="94"/>
      <c r="AI33" s="97">
        <v>14</v>
      </c>
      <c r="AJ33" s="111" t="s">
        <v>3690</v>
      </c>
      <c r="AK33" s="111">
        <v>20017400</v>
      </c>
      <c r="AL33" s="97">
        <v>0</v>
      </c>
      <c r="AM33" s="97">
        <f t="shared" si="9"/>
        <v>1338</v>
      </c>
      <c r="AN33" s="111">
        <f t="shared" si="10"/>
        <v>26783281200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4419</v>
      </c>
      <c r="L34" s="115">
        <f>-X148</f>
        <v>49554842.004975319</v>
      </c>
      <c r="M34" s="205" t="s">
        <v>5259</v>
      </c>
      <c r="N34" s="111">
        <f t="shared" si="14"/>
        <v>60570112</v>
      </c>
      <c r="O34" s="97">
        <f>SUM(AB20:AB61)</f>
        <v>107776</v>
      </c>
      <c r="P34" s="183">
        <f>P52</f>
        <v>562</v>
      </c>
      <c r="Q34" s="67">
        <f>N34*100/$S$170</f>
        <v>0.47827806948888402</v>
      </c>
      <c r="R34" s="167">
        <v>47880291</v>
      </c>
      <c r="S34" s="205" t="s">
        <v>5571</v>
      </c>
      <c r="T34" s="193">
        <f>T33-8</f>
        <v>630</v>
      </c>
      <c r="U34" s="205" t="s">
        <v>5575</v>
      </c>
      <c r="V34" s="205">
        <v>1737.1</v>
      </c>
      <c r="W34" s="205">
        <f t="shared" si="6"/>
        <v>2603.0229336986299</v>
      </c>
      <c r="X34" s="32">
        <f t="shared" si="12"/>
        <v>2655.0833923726027</v>
      </c>
      <c r="Y34" s="32">
        <f t="shared" si="13"/>
        <v>2707.143851046575</v>
      </c>
      <c r="Z34">
        <v>27461</v>
      </c>
      <c r="AB34" s="94"/>
      <c r="AI34" s="97">
        <v>15</v>
      </c>
      <c r="AJ34" s="111" t="s">
        <v>3690</v>
      </c>
      <c r="AK34" s="111">
        <v>1014466</v>
      </c>
      <c r="AL34" s="97">
        <v>12</v>
      </c>
      <c r="AM34" s="97">
        <f t="shared" si="9"/>
        <v>1338</v>
      </c>
      <c r="AN34" s="111">
        <f t="shared" si="10"/>
        <v>1357355508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205" t="s">
        <v>4651</v>
      </c>
      <c r="N35" s="111">
        <f t="shared" si="14"/>
        <v>0</v>
      </c>
      <c r="O35" s="97">
        <v>0</v>
      </c>
      <c r="P35" s="183">
        <f>P53</f>
        <v>764</v>
      </c>
      <c r="Q35" s="67"/>
      <c r="R35" s="167">
        <v>48859908</v>
      </c>
      <c r="S35" s="205" t="s">
        <v>5574</v>
      </c>
      <c r="T35" s="193">
        <f>T34-1</f>
        <v>629</v>
      </c>
      <c r="U35" s="205" t="s">
        <v>5578</v>
      </c>
      <c r="V35" s="205">
        <v>1730.1</v>
      </c>
      <c r="W35" s="205">
        <f t="shared" si="6"/>
        <v>2591.2063200000002</v>
      </c>
      <c r="X35" s="32">
        <f t="shared" si="12"/>
        <v>2643.0304464000001</v>
      </c>
      <c r="Y35" s="32">
        <f t="shared" si="13"/>
        <v>2694.8545728000004</v>
      </c>
      <c r="Z35">
        <v>28136</v>
      </c>
      <c r="AA35" t="s">
        <v>25</v>
      </c>
      <c r="AB35" s="94" t="s">
        <v>25</v>
      </c>
      <c r="AI35" s="97">
        <v>16</v>
      </c>
      <c r="AJ35" s="111" t="s">
        <v>1126</v>
      </c>
      <c r="AK35" s="111">
        <v>360000</v>
      </c>
      <c r="AL35" s="97">
        <v>2</v>
      </c>
      <c r="AM35" s="97">
        <f t="shared" si="9"/>
        <v>1326</v>
      </c>
      <c r="AN35" s="111">
        <f t="shared" si="10"/>
        <v>477360000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205" t="s">
        <v>4354</v>
      </c>
      <c r="N36" s="111">
        <f t="shared" si="14"/>
        <v>0</v>
      </c>
      <c r="O36" s="97">
        <v>0</v>
      </c>
      <c r="P36" s="183">
        <f>P54</f>
        <v>16919</v>
      </c>
      <c r="Q36" s="67"/>
      <c r="R36" s="167">
        <v>38191823</v>
      </c>
      <c r="S36" s="205" t="s">
        <v>5576</v>
      </c>
      <c r="T36" s="193">
        <f>T35-1</f>
        <v>628</v>
      </c>
      <c r="U36" s="205" t="s">
        <v>5577</v>
      </c>
      <c r="V36" s="205">
        <v>1646</v>
      </c>
      <c r="W36" s="205">
        <f t="shared" si="6"/>
        <v>2463.9853369863017</v>
      </c>
      <c r="X36" s="32">
        <f t="shared" si="12"/>
        <v>2513.2650437260277</v>
      </c>
      <c r="Y36" s="32">
        <f t="shared" si="13"/>
        <v>2562.5447504657541</v>
      </c>
      <c r="Z36">
        <v>23117</v>
      </c>
      <c r="AB36" s="94"/>
      <c r="AI36" s="97">
        <v>17</v>
      </c>
      <c r="AJ36" s="111" t="s">
        <v>3750</v>
      </c>
      <c r="AK36" s="111">
        <v>-350000</v>
      </c>
      <c r="AL36" s="97">
        <v>0</v>
      </c>
      <c r="AM36" s="97">
        <f t="shared" si="9"/>
        <v>1324</v>
      </c>
      <c r="AN36" s="111">
        <f t="shared" si="10"/>
        <v>-463400000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205" t="s">
        <v>5813</v>
      </c>
      <c r="N37" s="111">
        <f t="shared" si="14"/>
        <v>0</v>
      </c>
      <c r="O37" s="97">
        <v>0</v>
      </c>
      <c r="P37" s="183">
        <f>P57</f>
        <v>8463</v>
      </c>
      <c r="Q37" s="67"/>
      <c r="R37" s="167">
        <v>70173463</v>
      </c>
      <c r="S37" s="205" t="s">
        <v>5579</v>
      </c>
      <c r="T37" s="193">
        <f>T36-3</f>
        <v>625</v>
      </c>
      <c r="U37" s="205" t="s">
        <v>5583</v>
      </c>
      <c r="V37" s="205">
        <v>1674.7</v>
      </c>
      <c r="W37" s="205">
        <f t="shared" si="6"/>
        <v>2503.0937961643835</v>
      </c>
      <c r="X37" s="32">
        <f t="shared" si="12"/>
        <v>2553.1556720876711</v>
      </c>
      <c r="Y37" s="32">
        <f t="shared" si="13"/>
        <v>2603.217548010959</v>
      </c>
      <c r="Z37">
        <v>41747</v>
      </c>
      <c r="AA37" t="s">
        <v>25</v>
      </c>
      <c r="AB37" s="94"/>
      <c r="AI37" s="97">
        <v>18</v>
      </c>
      <c r="AJ37" s="111" t="s">
        <v>3750</v>
      </c>
      <c r="AK37" s="111">
        <v>1000</v>
      </c>
      <c r="AL37" s="97">
        <v>1</v>
      </c>
      <c r="AM37" s="97">
        <f t="shared" si="9"/>
        <v>1324</v>
      </c>
      <c r="AN37" s="111">
        <f t="shared" si="10"/>
        <v>1324000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c r="N38" s="111"/>
      <c r="O38" s="67"/>
      <c r="P38" s="97"/>
      <c r="Q38" s="67"/>
      <c r="R38" s="167">
        <v>23283294</v>
      </c>
      <c r="S38" s="205" t="s">
        <v>5581</v>
      </c>
      <c r="T38" s="193">
        <f>T37-2</f>
        <v>623</v>
      </c>
      <c r="U38" s="205" t="s">
        <v>5582</v>
      </c>
      <c r="V38" s="205">
        <v>1663</v>
      </c>
      <c r="W38" s="205">
        <f t="shared" si="6"/>
        <v>2483.0549150684933</v>
      </c>
      <c r="X38" s="32">
        <f t="shared" si="12"/>
        <v>2532.716013369863</v>
      </c>
      <c r="Y38" s="32">
        <f t="shared" si="13"/>
        <v>2582.3771116712333</v>
      </c>
      <c r="Z38">
        <v>13949</v>
      </c>
      <c r="AA38" t="s">
        <v>25</v>
      </c>
      <c r="AB38" s="94"/>
      <c r="AI38" s="97">
        <v>19</v>
      </c>
      <c r="AJ38" s="111" t="s">
        <v>3754</v>
      </c>
      <c r="AK38" s="111">
        <v>33610000</v>
      </c>
      <c r="AL38" s="97">
        <v>4</v>
      </c>
      <c r="AM38" s="97">
        <f t="shared" si="9"/>
        <v>1323</v>
      </c>
      <c r="AN38" s="111">
        <f t="shared" si="10"/>
        <v>44466030000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6951</v>
      </c>
      <c r="L39" s="115">
        <v>-33000000</v>
      </c>
      <c r="M39" s="187" t="s">
        <v>4414</v>
      </c>
      <c r="N39" s="111">
        <v>169</v>
      </c>
      <c r="O39" s="252"/>
      <c r="P39" s="97" t="s">
        <v>25</v>
      </c>
      <c r="Q39" s="67"/>
      <c r="R39" s="167">
        <v>1611237.824</v>
      </c>
      <c r="S39" s="205" t="s">
        <v>5584</v>
      </c>
      <c r="T39" s="193">
        <f>T38-1</f>
        <v>622</v>
      </c>
      <c r="U39" s="205" t="s">
        <v>5589</v>
      </c>
      <c r="V39" s="205">
        <v>1580</v>
      </c>
      <c r="W39" s="205">
        <f t="shared" si="6"/>
        <v>2357.9140821917808</v>
      </c>
      <c r="X39" s="32">
        <f t="shared" si="12"/>
        <v>2405.0723638356167</v>
      </c>
      <c r="Y39" s="32">
        <f t="shared" si="13"/>
        <v>2452.2306454794521</v>
      </c>
      <c r="Z39">
        <v>1016</v>
      </c>
      <c r="AB39" s="94" t="s">
        <v>25</v>
      </c>
      <c r="AC39" s="94"/>
      <c r="AD39" s="94"/>
      <c r="AE39" s="94"/>
      <c r="AI39" s="97">
        <v>20</v>
      </c>
      <c r="AJ39" s="111" t="s">
        <v>4038</v>
      </c>
      <c r="AK39" s="111">
        <v>-15600000</v>
      </c>
      <c r="AL39" s="97">
        <v>3</v>
      </c>
      <c r="AM39" s="97">
        <f t="shared" si="9"/>
        <v>1319</v>
      </c>
      <c r="AN39" s="111">
        <f t="shared" si="10"/>
        <v>-20576400000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87" t="s">
        <v>4395</v>
      </c>
      <c r="N40" s="111">
        <f>O40*P40</f>
        <v>440902830</v>
      </c>
      <c r="O40" s="67">
        <f>SUM(Z67:Z87)</f>
        <v>299730</v>
      </c>
      <c r="P40" s="97">
        <f>P51</f>
        <v>1471</v>
      </c>
      <c r="Q40" s="67">
        <f>N40*100/$S$170</f>
        <v>3.4814885989411017</v>
      </c>
      <c r="R40" s="167">
        <v>563902380</v>
      </c>
      <c r="S40" s="205" t="s">
        <v>5591</v>
      </c>
      <c r="T40" s="193">
        <f>T39-5</f>
        <v>617</v>
      </c>
      <c r="U40" s="205" t="s">
        <v>5593</v>
      </c>
      <c r="V40" s="205">
        <v>1560.1</v>
      </c>
      <c r="W40" s="205">
        <f t="shared" si="6"/>
        <v>2322.2323583561642</v>
      </c>
      <c r="X40" s="32">
        <f t="shared" si="12"/>
        <v>2368.6770055232878</v>
      </c>
      <c r="Y40" s="32">
        <f t="shared" si="13"/>
        <v>2415.1216526904109</v>
      </c>
      <c r="Z40">
        <v>360127</v>
      </c>
      <c r="AA40" s="113"/>
      <c r="AC40" s="94"/>
      <c r="AD40" s="94"/>
      <c r="AE40" s="94"/>
      <c r="AI40" s="97">
        <v>21</v>
      </c>
      <c r="AJ40" s="111" t="s">
        <v>3768</v>
      </c>
      <c r="AK40" s="111">
        <v>7500000</v>
      </c>
      <c r="AL40" s="97">
        <v>4</v>
      </c>
      <c r="AM40" s="97">
        <f t="shared" si="9"/>
        <v>1316</v>
      </c>
      <c r="AN40" s="111">
        <f t="shared" si="10"/>
        <v>9870000000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87" t="s">
        <v>5259</v>
      </c>
      <c r="N41" s="111">
        <f>O41*P41</f>
        <v>46531914</v>
      </c>
      <c r="O41" s="67">
        <f>SUM(AB68:AB87)</f>
        <v>82797</v>
      </c>
      <c r="P41" s="97">
        <f>P52</f>
        <v>562</v>
      </c>
      <c r="Q41" s="67">
        <f>N41*100/$S$170</f>
        <v>0.36742864199331138</v>
      </c>
      <c r="R41" s="167">
        <v>814638349</v>
      </c>
      <c r="S41" s="205" t="s">
        <v>5598</v>
      </c>
      <c r="T41" s="193">
        <f>T40-8</f>
        <v>609</v>
      </c>
      <c r="U41" s="205" t="s">
        <v>5599</v>
      </c>
      <c r="V41" s="205">
        <v>1667</v>
      </c>
      <c r="W41" s="205">
        <f t="shared" si="6"/>
        <v>2471.124263013699</v>
      </c>
      <c r="X41" s="32">
        <f t="shared" si="12"/>
        <v>2520.5467482739732</v>
      </c>
      <c r="Y41" s="32">
        <f t="shared" si="13"/>
        <v>2569.969233534247</v>
      </c>
      <c r="Z41">
        <v>486878</v>
      </c>
      <c r="AA41" s="113"/>
      <c r="AC41" s="94"/>
      <c r="AD41" s="94"/>
      <c r="AE41" s="94"/>
      <c r="AI41" s="97">
        <v>22</v>
      </c>
      <c r="AJ41" s="111" t="s">
        <v>4039</v>
      </c>
      <c r="AK41" s="111">
        <v>-98000</v>
      </c>
      <c r="AL41" s="97">
        <v>1</v>
      </c>
      <c r="AM41" s="97">
        <f t="shared" si="9"/>
        <v>1312</v>
      </c>
      <c r="AN41" s="111">
        <f t="shared" si="10"/>
        <v>-128576000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6941</v>
      </c>
      <c r="L42" s="115">
        <v>3000000</v>
      </c>
      <c r="M42" s="166"/>
      <c r="N42" s="111"/>
      <c r="P42" t="s">
        <v>25</v>
      </c>
      <c r="Q42" s="67"/>
      <c r="R42" s="167">
        <v>2537951</v>
      </c>
      <c r="S42" s="205" t="s">
        <v>5613</v>
      </c>
      <c r="T42" s="193">
        <f>T41-5</f>
        <v>604</v>
      </c>
      <c r="U42" s="205" t="s">
        <v>5614</v>
      </c>
      <c r="V42" s="205">
        <v>1768.2</v>
      </c>
      <c r="W42" s="205">
        <f t="shared" si="6"/>
        <v>2614.3587879452057</v>
      </c>
      <c r="X42" s="32">
        <f t="shared" si="12"/>
        <v>2666.6459637041098</v>
      </c>
      <c r="Y42" s="32">
        <f t="shared" si="13"/>
        <v>2718.933139463014</v>
      </c>
      <c r="Z42">
        <v>1430</v>
      </c>
      <c r="AA42" s="113"/>
      <c r="AC42" s="113"/>
      <c r="AD42" s="113"/>
      <c r="AE42" s="113"/>
      <c r="AF42" s="113"/>
      <c r="AG42" s="113"/>
      <c r="AI42" s="97">
        <v>23</v>
      </c>
      <c r="AJ42" s="111" t="s">
        <v>4033</v>
      </c>
      <c r="AK42" s="111">
        <v>-26000000</v>
      </c>
      <c r="AL42" s="97">
        <v>0</v>
      </c>
      <c r="AM42" s="97">
        <f t="shared" si="9"/>
        <v>1311</v>
      </c>
      <c r="AN42" s="111">
        <f t="shared" si="10"/>
        <v>-34086000000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4"/>
      <c r="L43" s="115"/>
      <c r="R43" s="167">
        <v>67414766</v>
      </c>
      <c r="S43" s="205" t="s">
        <v>5622</v>
      </c>
      <c r="T43" s="193">
        <f>T42-3</f>
        <v>601</v>
      </c>
      <c r="U43" s="205" t="s">
        <v>5629</v>
      </c>
      <c r="V43" s="205">
        <v>1582.3</v>
      </c>
      <c r="W43" s="205">
        <f t="shared" si="6"/>
        <v>2335.8562860273973</v>
      </c>
      <c r="X43" s="32">
        <f t="shared" si="12"/>
        <v>2382.5734117479456</v>
      </c>
      <c r="Y43" s="32">
        <f t="shared" si="13"/>
        <v>2429.2905374684933</v>
      </c>
      <c r="Z43" s="94">
        <v>42448</v>
      </c>
      <c r="AA43" s="120"/>
      <c r="AC43" s="113"/>
      <c r="AD43" s="113"/>
      <c r="AE43" s="113"/>
      <c r="AF43" s="113"/>
      <c r="AG43" s="113"/>
      <c r="AI43" s="97">
        <v>24</v>
      </c>
      <c r="AJ43" s="111" t="s">
        <v>4033</v>
      </c>
      <c r="AK43" s="111">
        <v>25000000</v>
      </c>
      <c r="AL43" s="97">
        <v>1</v>
      </c>
      <c r="AM43" s="97">
        <f t="shared" si="9"/>
        <v>1311</v>
      </c>
      <c r="AN43" s="111">
        <f t="shared" si="10"/>
        <v>32775000000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c r="L44" s="115"/>
      <c r="M44" s="166" t="s">
        <v>747</v>
      </c>
      <c r="N44" s="111">
        <v>3000000</v>
      </c>
      <c r="P44" t="s">
        <v>25</v>
      </c>
      <c r="Q44" s="67"/>
      <c r="R44" s="167">
        <v>23400057</v>
      </c>
      <c r="S44" s="205" t="s">
        <v>5626</v>
      </c>
      <c r="T44" s="193">
        <f>T43-1</f>
        <v>600</v>
      </c>
      <c r="U44" s="205" t="s">
        <v>5630</v>
      </c>
      <c r="V44" s="205">
        <v>1610.6</v>
      </c>
      <c r="W44" s="205">
        <f t="shared" si="6"/>
        <v>2376.3983802739726</v>
      </c>
      <c r="X44" s="32">
        <f t="shared" si="12"/>
        <v>2423.9263478794524</v>
      </c>
      <c r="Y44" s="32">
        <f t="shared" si="13"/>
        <v>2471.4543154849316</v>
      </c>
      <c r="Z44" s="94">
        <v>14475</v>
      </c>
      <c r="AA44" s="120" t="s">
        <v>25</v>
      </c>
      <c r="AC44" s="113"/>
      <c r="AD44" s="113"/>
      <c r="AE44" s="113" t="s">
        <v>25</v>
      </c>
      <c r="AF44" s="113"/>
      <c r="AG44" s="113"/>
      <c r="AI44" s="97">
        <v>25</v>
      </c>
      <c r="AJ44" s="111" t="s">
        <v>4034</v>
      </c>
      <c r="AK44" s="111">
        <v>110000</v>
      </c>
      <c r="AL44" s="97">
        <v>1</v>
      </c>
      <c r="AM44" s="97">
        <f t="shared" si="9"/>
        <v>1310</v>
      </c>
      <c r="AN44" s="111">
        <f t="shared" si="10"/>
        <v>144100000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751</v>
      </c>
      <c r="N45" s="111">
        <v>1200000</v>
      </c>
      <c r="O45" s="112"/>
      <c r="P45" t="s">
        <v>25</v>
      </c>
      <c r="Q45" s="67"/>
      <c r="R45" s="167"/>
      <c r="S45" s="205" t="s">
        <v>5632</v>
      </c>
      <c r="T45" s="193">
        <f>T44-4</f>
        <v>596</v>
      </c>
      <c r="U45" s="205" t="s">
        <v>5633</v>
      </c>
      <c r="V45" s="205">
        <v>1582</v>
      </c>
      <c r="W45" s="205">
        <f t="shared" si="6"/>
        <v>2329.3454684931507</v>
      </c>
      <c r="X45" s="32">
        <f t="shared" si="12"/>
        <v>2375.9323778630137</v>
      </c>
      <c r="Y45" s="32">
        <f t="shared" si="13"/>
        <v>2422.5192872328766</v>
      </c>
      <c r="Z45" s="94">
        <v>71983</v>
      </c>
      <c r="AA45" s="120"/>
      <c r="AB45" s="94"/>
      <c r="AC45" s="113"/>
      <c r="AD45" s="113" t="s">
        <v>25</v>
      </c>
      <c r="AE45" s="113" t="s">
        <v>25</v>
      </c>
      <c r="AF45" s="113"/>
      <c r="AG45" s="113" t="s">
        <v>25</v>
      </c>
      <c r="AI45" s="97">
        <v>26</v>
      </c>
      <c r="AJ45" s="111" t="s">
        <v>3783</v>
      </c>
      <c r="AK45" s="111">
        <v>380000</v>
      </c>
      <c r="AL45" s="97">
        <v>7</v>
      </c>
      <c r="AM45" s="97">
        <f t="shared" si="9"/>
        <v>1309</v>
      </c>
      <c r="AN45" s="111">
        <f t="shared" si="10"/>
        <v>497420000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t="s">
        <v>6403</v>
      </c>
      <c r="N46" s="111">
        <v>-14000000</v>
      </c>
      <c r="O46" t="s">
        <v>25</v>
      </c>
      <c r="P46" t="s">
        <v>25</v>
      </c>
      <c r="Q46" s="67"/>
      <c r="R46" s="167"/>
      <c r="S46" s="205" t="s">
        <v>5634</v>
      </c>
      <c r="T46" s="193">
        <f>T45-1</f>
        <v>595</v>
      </c>
      <c r="U46" s="205" t="s">
        <v>5635</v>
      </c>
      <c r="V46" s="205">
        <v>1530</v>
      </c>
      <c r="W46" s="205">
        <f t="shared" si="6"/>
        <v>2251.6066849315071</v>
      </c>
      <c r="X46" s="32">
        <f t="shared" si="12"/>
        <v>2296.6388186301374</v>
      </c>
      <c r="Y46" s="32">
        <f t="shared" si="13"/>
        <v>2341.6709523287673</v>
      </c>
      <c r="Z46" s="94">
        <v>2971</v>
      </c>
      <c r="AA46" s="120"/>
      <c r="AB46" s="94"/>
      <c r="AC46" s="113"/>
      <c r="AD46" s="113"/>
      <c r="AE46" s="113"/>
      <c r="AF46" s="113"/>
      <c r="AG46" s="113"/>
      <c r="AI46" s="97">
        <v>27</v>
      </c>
      <c r="AJ46" s="111" t="s">
        <v>3869</v>
      </c>
      <c r="AK46" s="111">
        <v>450000</v>
      </c>
      <c r="AL46" s="97">
        <v>6</v>
      </c>
      <c r="AM46" s="97">
        <f t="shared" si="9"/>
        <v>1302</v>
      </c>
      <c r="AN46" s="111">
        <f t="shared" si="10"/>
        <v>585900000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c r="L47" s="115"/>
      <c r="M47" s="166" t="s">
        <v>6404</v>
      </c>
      <c r="N47" s="111">
        <v>-34200000</v>
      </c>
      <c r="O47" s="273"/>
      <c r="P47" s="94" t="s">
        <v>25</v>
      </c>
      <c r="Q47" s="67"/>
      <c r="R47" s="167"/>
      <c r="S47" s="205" t="s">
        <v>5637</v>
      </c>
      <c r="T47" s="193">
        <f>T46-2</f>
        <v>593</v>
      </c>
      <c r="U47" s="205" t="s">
        <v>5638</v>
      </c>
      <c r="V47" s="205"/>
      <c r="W47" s="205">
        <f t="shared" si="6"/>
        <v>0</v>
      </c>
      <c r="X47" s="32">
        <f t="shared" ref="X47:X55" si="15">W47*(1+$X$19/100)</f>
        <v>0</v>
      </c>
      <c r="Y47" s="32">
        <f t="shared" ref="Y47:Y55" si="16">W47*(1+$Y$19/100)</f>
        <v>0</v>
      </c>
      <c r="Z47" s="94">
        <v>32899</v>
      </c>
      <c r="AA47" s="120"/>
      <c r="AB47" s="94"/>
      <c r="AC47" s="113"/>
      <c r="AD47" s="113"/>
      <c r="AE47" s="113" t="s">
        <v>25</v>
      </c>
      <c r="AF47" s="113"/>
      <c r="AG47" s="113"/>
      <c r="AI47" s="97">
        <v>28</v>
      </c>
      <c r="AJ47" s="111" t="s">
        <v>3893</v>
      </c>
      <c r="AK47" s="111">
        <v>2800000</v>
      </c>
      <c r="AL47" s="97">
        <v>1</v>
      </c>
      <c r="AM47" s="97">
        <f t="shared" si="9"/>
        <v>1296</v>
      </c>
      <c r="AN47" s="111">
        <f t="shared" si="10"/>
        <v>3628800000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6974</v>
      </c>
      <c r="L48" s="115">
        <v>25000000</v>
      </c>
      <c r="M48" s="166"/>
      <c r="N48" s="111"/>
      <c r="O48" s="112"/>
      <c r="P48" s="94"/>
      <c r="Q48" s="67"/>
      <c r="R48" s="167"/>
      <c r="S48" s="205" t="s">
        <v>5653</v>
      </c>
      <c r="T48" s="193">
        <f>T47-19</f>
        <v>574</v>
      </c>
      <c r="U48" s="205" t="s">
        <v>5654</v>
      </c>
      <c r="V48" s="205">
        <v>1160</v>
      </c>
      <c r="W48" s="205">
        <f t="shared" si="6"/>
        <v>1688.4133698630137</v>
      </c>
      <c r="X48" s="32">
        <f t="shared" si="15"/>
        <v>1722.1816372602741</v>
      </c>
      <c r="Y48" s="32">
        <f t="shared" si="16"/>
        <v>1755.9499046575343</v>
      </c>
      <c r="Z48" s="94">
        <v>53136</v>
      </c>
      <c r="AA48" s="120"/>
      <c r="AB48" s="94"/>
      <c r="AC48" s="113" t="s">
        <v>25</v>
      </c>
      <c r="AD48" s="113"/>
      <c r="AE48" s="113"/>
      <c r="AF48" s="113"/>
      <c r="AG48" s="113"/>
      <c r="AI48" s="97">
        <v>29</v>
      </c>
      <c r="AJ48" s="111" t="s">
        <v>3894</v>
      </c>
      <c r="AK48" s="111">
        <v>-1500000</v>
      </c>
      <c r="AL48" s="97">
        <v>0</v>
      </c>
      <c r="AM48" s="97">
        <f t="shared" si="9"/>
        <v>1295</v>
      </c>
      <c r="AN48" s="111">
        <f t="shared" si="10"/>
        <v>-1942500000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Q49" s="67"/>
      <c r="R49" s="167"/>
      <c r="S49" s="205" t="s">
        <v>5655</v>
      </c>
      <c r="T49" s="193">
        <f>T48-1</f>
        <v>573</v>
      </c>
      <c r="U49" s="205" t="s">
        <v>5656</v>
      </c>
      <c r="V49" s="205"/>
      <c r="W49" s="205">
        <f t="shared" si="6"/>
        <v>0</v>
      </c>
      <c r="X49" s="32">
        <f t="shared" si="15"/>
        <v>0</v>
      </c>
      <c r="Y49" s="32">
        <f t="shared" si="16"/>
        <v>0</v>
      </c>
      <c r="Z49" s="94">
        <v>152397</v>
      </c>
      <c r="AA49" s="120"/>
      <c r="AB49" s="94"/>
      <c r="AD49" t="s">
        <v>25</v>
      </c>
      <c r="AE49" t="s">
        <v>25</v>
      </c>
      <c r="AG49" s="113"/>
      <c r="AI49" s="97">
        <v>30</v>
      </c>
      <c r="AJ49" s="111" t="s">
        <v>3894</v>
      </c>
      <c r="AK49" s="111">
        <v>3050000</v>
      </c>
      <c r="AL49" s="97">
        <v>3</v>
      </c>
      <c r="AM49" s="97">
        <f>AM50+AL49</f>
        <v>1295</v>
      </c>
      <c r="AN49" s="111">
        <f t="shared" si="10"/>
        <v>3949750000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66" t="s">
        <v>4413</v>
      </c>
      <c r="N50" s="295">
        <v>147</v>
      </c>
      <c r="O50" s="112"/>
      <c r="P50" t="s">
        <v>25</v>
      </c>
      <c r="Q50" s="67"/>
      <c r="R50" s="167"/>
      <c r="S50" s="205" t="s">
        <v>5657</v>
      </c>
      <c r="T50" s="193">
        <f>T49-1</f>
        <v>572</v>
      </c>
      <c r="U50" s="205" t="s">
        <v>5658</v>
      </c>
      <c r="V50" s="205"/>
      <c r="W50" s="205">
        <f t="shared" si="6"/>
        <v>0</v>
      </c>
      <c r="X50" s="32">
        <f t="shared" si="15"/>
        <v>0</v>
      </c>
      <c r="Y50" s="32">
        <f t="shared" si="16"/>
        <v>0</v>
      </c>
      <c r="Z50" s="94">
        <v>173628</v>
      </c>
      <c r="AA50" s="120"/>
      <c r="AB50" s="94"/>
      <c r="AI50" s="97">
        <v>31</v>
      </c>
      <c r="AJ50" s="111" t="s">
        <v>3918</v>
      </c>
      <c r="AK50" s="111">
        <v>-8299612</v>
      </c>
      <c r="AL50" s="97">
        <v>2</v>
      </c>
      <c r="AM50" s="97">
        <f t="shared" si="9"/>
        <v>1292</v>
      </c>
      <c r="AN50" s="111">
        <f t="shared" si="10"/>
        <v>-10723098704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4156</v>
      </c>
      <c r="N51" s="111">
        <f>O51*P51</f>
        <v>4772156418</v>
      </c>
      <c r="O51" s="97">
        <f>SUM(Z97:Z130)</f>
        <v>3244158</v>
      </c>
      <c r="P51" s="97">
        <v>1471</v>
      </c>
      <c r="Q51" s="67">
        <f>N51*100/$S$170</f>
        <v>37.682244320433611</v>
      </c>
      <c r="R51" s="167"/>
      <c r="S51" s="205" t="s">
        <v>5659</v>
      </c>
      <c r="T51" s="193">
        <f>T50-3</f>
        <v>569</v>
      </c>
      <c r="U51" s="205" t="s">
        <v>5660</v>
      </c>
      <c r="V51" s="205"/>
      <c r="W51" s="205">
        <f t="shared" si="6"/>
        <v>0</v>
      </c>
      <c r="X51" s="32">
        <f t="shared" si="15"/>
        <v>0</v>
      </c>
      <c r="Y51" s="32">
        <f t="shared" si="16"/>
        <v>0</v>
      </c>
      <c r="Z51" s="94">
        <v>79504</v>
      </c>
      <c r="AA51" s="120"/>
      <c r="AB51" s="94"/>
      <c r="AI51" s="97">
        <v>32</v>
      </c>
      <c r="AJ51" s="111" t="s">
        <v>3913</v>
      </c>
      <c r="AK51" s="111">
        <v>5000000</v>
      </c>
      <c r="AL51" s="97">
        <v>14</v>
      </c>
      <c r="AM51" s="97">
        <f t="shared" si="9"/>
        <v>1290</v>
      </c>
      <c r="AN51" s="111">
        <f t="shared" si="10"/>
        <v>6450000000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c r="L52" s="115"/>
      <c r="M52" s="19" t="s">
        <v>5259</v>
      </c>
      <c r="N52" s="111">
        <f t="shared" ref="N52:N58" si="17">O52*P52</f>
        <v>2859513886</v>
      </c>
      <c r="O52" s="97">
        <f>SUM(AB97:AB130)</f>
        <v>5088103</v>
      </c>
      <c r="P52" s="97">
        <v>562</v>
      </c>
      <c r="Q52" s="67">
        <f>N52*100/$S$170</f>
        <v>22.579498962668861</v>
      </c>
      <c r="R52" s="167"/>
      <c r="S52" s="205" t="s">
        <v>5662</v>
      </c>
      <c r="T52" s="193">
        <f>T51-2</f>
        <v>567</v>
      </c>
      <c r="U52" s="205" t="s">
        <v>5663</v>
      </c>
      <c r="V52" s="205"/>
      <c r="W52" s="205">
        <f t="shared" si="6"/>
        <v>0</v>
      </c>
      <c r="X52" s="32">
        <f t="shared" si="15"/>
        <v>0</v>
      </c>
      <c r="Y52" s="32">
        <f t="shared" si="16"/>
        <v>0</v>
      </c>
      <c r="Z52" s="94">
        <v>19196</v>
      </c>
      <c r="AA52" s="120"/>
      <c r="AB52" s="94"/>
      <c r="AI52" s="97">
        <v>33</v>
      </c>
      <c r="AJ52" s="111" t="s">
        <v>973</v>
      </c>
      <c r="AK52" s="111">
        <v>-90000</v>
      </c>
      <c r="AL52" s="97">
        <v>1</v>
      </c>
      <c r="AM52" s="97">
        <f t="shared" si="9"/>
        <v>1276</v>
      </c>
      <c r="AN52" s="111">
        <f t="shared" si="10"/>
        <v>-114840000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6936</v>
      </c>
      <c r="N53" s="111">
        <f t="shared" si="17"/>
        <v>0</v>
      </c>
      <c r="O53" s="97">
        <v>0</v>
      </c>
      <c r="P53" s="97">
        <f>P51-707</f>
        <v>764</v>
      </c>
      <c r="Q53" s="67"/>
      <c r="R53" s="167" t="s">
        <v>25</v>
      </c>
      <c r="S53" s="205" t="s">
        <v>5665</v>
      </c>
      <c r="T53" s="193">
        <f>T52-7</f>
        <v>560</v>
      </c>
      <c r="U53" s="205" t="s">
        <v>6253</v>
      </c>
      <c r="V53" s="205">
        <v>1100</v>
      </c>
      <c r="W53" s="205">
        <f t="shared" si="6"/>
        <v>1589.2679452054797</v>
      </c>
      <c r="X53" s="32">
        <f t="shared" si="15"/>
        <v>1621.0533041095894</v>
      </c>
      <c r="Y53" s="32">
        <f t="shared" si="16"/>
        <v>1652.838663013699</v>
      </c>
      <c r="Z53" s="94">
        <v>101322</v>
      </c>
      <c r="AA53" s="120"/>
      <c r="AB53" s="94"/>
      <c r="AI53" s="97">
        <v>34</v>
      </c>
      <c r="AJ53" s="111" t="s">
        <v>4035</v>
      </c>
      <c r="AK53" s="111">
        <v>5600000</v>
      </c>
      <c r="AL53" s="97">
        <v>4</v>
      </c>
      <c r="AM53" s="97">
        <f t="shared" si="9"/>
        <v>1275</v>
      </c>
      <c r="AN53" s="111">
        <f t="shared" si="10"/>
        <v>7140000000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4354</v>
      </c>
      <c r="N54" s="115">
        <f t="shared" si="17"/>
        <v>0</v>
      </c>
      <c r="O54" s="67">
        <v>0</v>
      </c>
      <c r="P54" s="67">
        <v>16919</v>
      </c>
      <c r="Q54" s="67"/>
      <c r="R54" s="167"/>
      <c r="S54" s="205" t="s">
        <v>963</v>
      </c>
      <c r="T54" s="282">
        <f>T53-20</f>
        <v>540</v>
      </c>
      <c r="U54" s="205" t="s">
        <v>5687</v>
      </c>
      <c r="V54" s="205"/>
      <c r="W54" s="205">
        <f t="shared" si="6"/>
        <v>0</v>
      </c>
      <c r="X54" s="32">
        <f t="shared" si="15"/>
        <v>0</v>
      </c>
      <c r="Y54" s="32">
        <f t="shared" si="16"/>
        <v>0</v>
      </c>
      <c r="Z54" s="94">
        <v>948</v>
      </c>
      <c r="AA54" s="120"/>
      <c r="AB54" s="94"/>
      <c r="AI54" s="97">
        <v>35</v>
      </c>
      <c r="AJ54" s="111" t="s">
        <v>3963</v>
      </c>
      <c r="AK54" s="111">
        <v>750000</v>
      </c>
      <c r="AL54" s="97">
        <v>2</v>
      </c>
      <c r="AM54" s="97">
        <f t="shared" si="9"/>
        <v>1271</v>
      </c>
      <c r="AN54" s="111">
        <f t="shared" si="10"/>
        <v>953250000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9" t="s">
        <v>4358</v>
      </c>
      <c r="N55" s="115">
        <f t="shared" si="17"/>
        <v>0</v>
      </c>
      <c r="O55" s="67">
        <v>0</v>
      </c>
      <c r="P55" s="67">
        <v>19445</v>
      </c>
      <c r="Q55" s="67"/>
      <c r="R55" s="167" t="s">
        <v>25</v>
      </c>
      <c r="S55" s="205" t="s">
        <v>5718</v>
      </c>
      <c r="T55" s="193">
        <f>T54-22</f>
        <v>518</v>
      </c>
      <c r="U55" s="205" t="s">
        <v>6961</v>
      </c>
      <c r="V55" s="205">
        <v>1302</v>
      </c>
      <c r="W55" s="205">
        <f t="shared" si="6"/>
        <v>1839.1659616438358</v>
      </c>
      <c r="X55" s="32">
        <f t="shared" si="15"/>
        <v>1875.9492808767125</v>
      </c>
      <c r="Y55" s="32">
        <f t="shared" si="16"/>
        <v>1912.7326001095892</v>
      </c>
      <c r="Z55">
        <v>85137</v>
      </c>
      <c r="AA55" s="120" t="s">
        <v>25</v>
      </c>
      <c r="AB55" s="94"/>
      <c r="AI55" s="169">
        <v>36</v>
      </c>
      <c r="AJ55" s="168" t="s">
        <v>3973</v>
      </c>
      <c r="AK55" s="168">
        <v>-4242000</v>
      </c>
      <c r="AL55" s="169">
        <v>2</v>
      </c>
      <c r="AM55" s="169">
        <f t="shared" si="9"/>
        <v>1269</v>
      </c>
      <c r="AN55" s="168">
        <f t="shared" si="10"/>
        <v>-5383098000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19" t="s">
        <v>5834</v>
      </c>
      <c r="N56" s="111">
        <f t="shared" si="17"/>
        <v>0</v>
      </c>
      <c r="O56" s="97">
        <v>0</v>
      </c>
      <c r="P56" s="97">
        <v>3420</v>
      </c>
      <c r="Q56" s="67"/>
      <c r="R56" s="167"/>
      <c r="S56" s="205" t="s">
        <v>6252</v>
      </c>
      <c r="T56" s="193">
        <f>T55-196</f>
        <v>322</v>
      </c>
      <c r="U56" s="205" t="s">
        <v>6969</v>
      </c>
      <c r="V56" s="205">
        <v>1343</v>
      </c>
      <c r="W56" s="205">
        <f t="shared" si="6"/>
        <v>1695.1529972602741</v>
      </c>
      <c r="X56" s="32">
        <f t="shared" ref="X56:X57" si="18">W56*(1+$X$19/100)</f>
        <v>1729.0560572054796</v>
      </c>
      <c r="Y56" s="32">
        <f t="shared" ref="Y56:Y57" si="19">W56*(1+$Y$19/100)</f>
        <v>1762.9591171506852</v>
      </c>
      <c r="Z56" s="120"/>
      <c r="AA56" s="120">
        <v>11006</v>
      </c>
      <c r="AB56" s="94">
        <f>AA56*3</f>
        <v>33018</v>
      </c>
      <c r="AI56" s="97">
        <v>37</v>
      </c>
      <c r="AJ56" s="111" t="s">
        <v>3973</v>
      </c>
      <c r="AK56" s="111">
        <v>4100000</v>
      </c>
      <c r="AL56" s="97">
        <v>0</v>
      </c>
      <c r="AM56" s="97">
        <f t="shared" si="9"/>
        <v>1267</v>
      </c>
      <c r="AN56" s="111">
        <f t="shared" si="10"/>
        <v>5194700000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19" t="s">
        <v>5813</v>
      </c>
      <c r="N57" s="111">
        <f t="shared" si="17"/>
        <v>0</v>
      </c>
      <c r="O57" s="97">
        <v>0</v>
      </c>
      <c r="P57" s="97">
        <v>8463</v>
      </c>
      <c r="Q57" s="67"/>
      <c r="R57" s="167"/>
      <c r="S57" s="205" t="s">
        <v>6254</v>
      </c>
      <c r="T57" s="193">
        <f>T56-1</f>
        <v>321</v>
      </c>
      <c r="U57" s="205" t="s">
        <v>6968</v>
      </c>
      <c r="V57" s="205">
        <v>1350.4</v>
      </c>
      <c r="W57" s="205">
        <f t="shared" si="6"/>
        <v>1703.4574553424661</v>
      </c>
      <c r="X57" s="32">
        <f t="shared" si="18"/>
        <v>1737.5266044493155</v>
      </c>
      <c r="Y57" s="32">
        <f t="shared" si="19"/>
        <v>1771.5957535561649</v>
      </c>
      <c r="Z57" s="120"/>
      <c r="AA57" s="120">
        <v>48370</v>
      </c>
      <c r="AB57" s="404">
        <v>74758</v>
      </c>
      <c r="AI57" s="97">
        <v>38</v>
      </c>
      <c r="AJ57" s="111" t="s">
        <v>3979</v>
      </c>
      <c r="AK57" s="111">
        <v>4100000</v>
      </c>
      <c r="AL57" s="97">
        <v>1</v>
      </c>
      <c r="AM57" s="97">
        <f t="shared" si="9"/>
        <v>1267</v>
      </c>
      <c r="AN57" s="111">
        <f t="shared" si="10"/>
        <v>5194700000</v>
      </c>
      <c r="AO57" s="97"/>
    </row>
    <row r="58" spans="1:46" ht="18.75">
      <c r="A58" s="61">
        <v>1400</v>
      </c>
      <c r="B58" s="11">
        <v>56</v>
      </c>
      <c r="C58" s="48">
        <f t="shared" si="4"/>
        <v>5599018.9465658255</v>
      </c>
      <c r="D58" s="3">
        <f t="shared" si="5"/>
        <v>4548244.1579637462</v>
      </c>
      <c r="E58" s="3">
        <f t="shared" si="11"/>
        <v>591819398.97808707</v>
      </c>
      <c r="F58" s="3"/>
      <c r="G58" s="11"/>
      <c r="H58" s="97"/>
      <c r="I58" s="349"/>
      <c r="J58" s="350"/>
      <c r="K58" s="205"/>
      <c r="L58" s="115"/>
      <c r="M58" s="166" t="s">
        <v>6256</v>
      </c>
      <c r="N58" s="111">
        <f t="shared" si="17"/>
        <v>0</v>
      </c>
      <c r="O58" s="97">
        <v>0</v>
      </c>
      <c r="P58" s="97">
        <v>1</v>
      </c>
      <c r="R58" s="167"/>
      <c r="S58" s="205" t="s">
        <v>6963</v>
      </c>
      <c r="T58" s="193">
        <f>T97-1332</f>
        <v>7</v>
      </c>
      <c r="U58" s="205" t="s">
        <v>6964</v>
      </c>
      <c r="V58" s="205">
        <v>1526</v>
      </c>
      <c r="W58" s="205">
        <f t="shared" si="6"/>
        <v>1557.3896109589043</v>
      </c>
      <c r="X58" s="32">
        <f t="shared" ref="X58:X61" si="20">W58*(1+$X$19/100)</f>
        <v>1588.5374031780825</v>
      </c>
      <c r="Y58" s="32">
        <f t="shared" ref="Y58:Y61" si="21">W58*(1+$Y$19/100)</f>
        <v>1619.6851953972605</v>
      </c>
      <c r="Z58" s="120">
        <v>48177</v>
      </c>
      <c r="AA58" s="120"/>
      <c r="AB58" s="478"/>
      <c r="AI58" s="97">
        <v>39</v>
      </c>
      <c r="AJ58" s="111" t="s">
        <v>3988</v>
      </c>
      <c r="AK58" s="111">
        <v>790000</v>
      </c>
      <c r="AL58" s="97">
        <v>15</v>
      </c>
      <c r="AM58" s="97">
        <f t="shared" si="9"/>
        <v>1266</v>
      </c>
      <c r="AN58" s="111">
        <f t="shared" si="10"/>
        <v>1000140000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21" t="s">
        <v>1068</v>
      </c>
      <c r="N59" s="115">
        <f>O59*P59</f>
        <v>0</v>
      </c>
      <c r="O59" s="67">
        <v>0</v>
      </c>
      <c r="P59" s="67">
        <v>1454000</v>
      </c>
      <c r="R59" s="167"/>
      <c r="S59" s="205" t="s">
        <v>6966</v>
      </c>
      <c r="T59" s="193">
        <f>T97-1333</f>
        <v>6</v>
      </c>
      <c r="U59" s="205" t="s">
        <v>6967</v>
      </c>
      <c r="V59" s="205">
        <v>1552</v>
      </c>
      <c r="W59" s="205">
        <f t="shared" si="6"/>
        <v>1582.7338520547946</v>
      </c>
      <c r="X59" s="32">
        <f t="shared" si="20"/>
        <v>1614.3885290958906</v>
      </c>
      <c r="Y59" s="32">
        <f t="shared" si="21"/>
        <v>1646.0432061369866</v>
      </c>
      <c r="Z59" s="120">
        <v>951651</v>
      </c>
      <c r="AA59" s="120"/>
      <c r="AB59" s="477"/>
      <c r="AC59" s="94"/>
      <c r="AD59" s="94"/>
      <c r="AI59" s="169">
        <v>40</v>
      </c>
      <c r="AJ59" s="168" t="s">
        <v>4019</v>
      </c>
      <c r="AK59" s="168">
        <v>-3865000</v>
      </c>
      <c r="AL59" s="169">
        <v>6</v>
      </c>
      <c r="AM59" s="169">
        <f t="shared" si="9"/>
        <v>1251</v>
      </c>
      <c r="AN59" s="170">
        <f t="shared" si="10"/>
        <v>-4835115000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71" t="s">
        <v>5047</v>
      </c>
      <c r="N60" s="115">
        <f>O60*P60</f>
        <v>0</v>
      </c>
      <c r="O60" s="67">
        <v>0</v>
      </c>
      <c r="P60" s="67">
        <v>28531</v>
      </c>
      <c r="R60" s="167"/>
      <c r="S60" s="205"/>
      <c r="T60" s="193"/>
      <c r="U60" s="205"/>
      <c r="V60" s="205"/>
      <c r="W60" s="205"/>
      <c r="X60" s="32"/>
      <c r="Y60" s="32"/>
      <c r="Z60" s="120"/>
      <c r="AA60" s="120"/>
      <c r="AB60" s="477"/>
      <c r="AC60" s="94"/>
      <c r="AD60" s="94"/>
      <c r="AI60" s="20">
        <v>41</v>
      </c>
      <c r="AJ60" s="115" t="s">
        <v>4049</v>
      </c>
      <c r="AK60" s="115">
        <v>18800000</v>
      </c>
      <c r="AL60" s="20">
        <v>3</v>
      </c>
      <c r="AM60" s="97">
        <f t="shared" si="9"/>
        <v>1245</v>
      </c>
      <c r="AN60" s="111">
        <f t="shared" si="10"/>
        <v>23406000000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t="s">
        <v>1134</v>
      </c>
      <c r="N61" s="115">
        <v>14908</v>
      </c>
      <c r="O61" s="72">
        <v>1</v>
      </c>
      <c r="P61" t="s">
        <v>25</v>
      </c>
      <c r="R61" s="167"/>
      <c r="S61" s="166" t="s">
        <v>25</v>
      </c>
      <c r="T61" s="166" t="s">
        <v>25</v>
      </c>
      <c r="U61" s="166" t="s">
        <v>25</v>
      </c>
      <c r="V61" s="166"/>
      <c r="W61" s="205" t="e">
        <f>V61*(1+$S$93+$R$15*T61/36500)</f>
        <v>#VALUE!</v>
      </c>
      <c r="X61" s="32" t="e">
        <f t="shared" si="20"/>
        <v>#VALUE!</v>
      </c>
      <c r="Y61" s="32" t="e">
        <f t="shared" si="21"/>
        <v>#VALUE!</v>
      </c>
      <c r="Z61" s="120"/>
      <c r="AA61" s="120" t="s">
        <v>25</v>
      </c>
      <c r="AB61" s="94"/>
      <c r="AC61" s="94"/>
      <c r="AD61" s="94"/>
      <c r="AI61" s="20">
        <v>42</v>
      </c>
      <c r="AJ61" s="115" t="s">
        <v>4065</v>
      </c>
      <c r="AK61" s="115">
        <v>500000</v>
      </c>
      <c r="AL61" s="20">
        <v>1</v>
      </c>
      <c r="AM61" s="97">
        <f t="shared" si="9"/>
        <v>1242</v>
      </c>
      <c r="AN61" s="111">
        <f t="shared" si="10"/>
        <v>621000000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t="s">
        <v>1135</v>
      </c>
      <c r="N62" s="115">
        <v>5282</v>
      </c>
      <c r="O62" s="94"/>
      <c r="P62" t="s">
        <v>25</v>
      </c>
      <c r="R62" s="167">
        <f>SUM(N33:N36)-SUM(R20:R61)</f>
        <v>2742854609.6758094</v>
      </c>
      <c r="S62" s="166" t="s">
        <v>25</v>
      </c>
      <c r="T62" s="166" t="s">
        <v>25</v>
      </c>
      <c r="U62" s="166" t="s">
        <v>25</v>
      </c>
      <c r="V62" s="166"/>
      <c r="W62" s="166"/>
      <c r="X62" s="32"/>
      <c r="Y62" s="32"/>
      <c r="Z62" t="s">
        <v>25</v>
      </c>
      <c r="AA62" s="120"/>
      <c r="AB62" t="s">
        <v>25</v>
      </c>
      <c r="AC62" s="94"/>
      <c r="AD62" s="94"/>
      <c r="AI62" s="20">
        <v>43</v>
      </c>
      <c r="AJ62" s="115" t="s">
        <v>4069</v>
      </c>
      <c r="AK62" s="115">
        <v>200000</v>
      </c>
      <c r="AL62" s="20">
        <v>3</v>
      </c>
      <c r="AM62" s="97">
        <f>AM63+AL62</f>
        <v>1241</v>
      </c>
      <c r="AN62" s="111">
        <f t="shared" si="10"/>
        <v>248200000</v>
      </c>
      <c r="AO62" s="20"/>
    </row>
    <row r="63" spans="1:46">
      <c r="E63" s="26"/>
      <c r="J63" s="112"/>
      <c r="K63" s="205"/>
      <c r="L63" s="115"/>
      <c r="M63" s="166"/>
      <c r="N63" s="111"/>
      <c r="P63" t="s">
        <v>25</v>
      </c>
      <c r="Q63" s="113"/>
      <c r="S63" s="113" t="s">
        <v>25</v>
      </c>
      <c r="T63" s="113" t="s">
        <v>25</v>
      </c>
      <c r="U63" s="120" t="s">
        <v>25</v>
      </c>
      <c r="V63" s="113" t="s">
        <v>25</v>
      </c>
      <c r="W63" s="113" t="s">
        <v>25</v>
      </c>
      <c r="X63" s="190" t="s">
        <v>25</v>
      </c>
      <c r="Y63" s="190"/>
      <c r="AA63" s="120" t="s">
        <v>25</v>
      </c>
      <c r="AB63" t="s">
        <v>25</v>
      </c>
      <c r="AC63" s="94" t="s">
        <v>25</v>
      </c>
      <c r="AD63" s="94"/>
      <c r="AI63" s="20">
        <v>44</v>
      </c>
      <c r="AJ63" s="115" t="s">
        <v>4076</v>
      </c>
      <c r="AK63" s="115">
        <v>1000000</v>
      </c>
      <c r="AL63" s="20">
        <v>3</v>
      </c>
      <c r="AM63" s="97">
        <f t="shared" si="9"/>
        <v>1238</v>
      </c>
      <c r="AN63" s="111">
        <f t="shared" si="10"/>
        <v>1238000000</v>
      </c>
      <c r="AO63" s="20"/>
    </row>
    <row r="64" spans="1:46" ht="30">
      <c r="E64" s="26"/>
      <c r="J64" s="112"/>
      <c r="K64" s="205" t="s">
        <v>5494</v>
      </c>
      <c r="L64" s="115"/>
      <c r="M64" s="166" t="s">
        <v>4401</v>
      </c>
      <c r="N64" s="111">
        <f>-X141</f>
        <v>-126122418.96386886</v>
      </c>
      <c r="P64" s="22" t="s">
        <v>6970</v>
      </c>
      <c r="Q64" s="234" t="s">
        <v>6971</v>
      </c>
      <c r="R64" s="94" t="s">
        <v>25</v>
      </c>
      <c r="S64" s="113" t="s">
        <v>25</v>
      </c>
      <c r="T64" s="113"/>
      <c r="U64" s="113" t="s">
        <v>25</v>
      </c>
      <c r="V64" s="113" t="s">
        <v>25</v>
      </c>
      <c r="W64" s="120" t="s">
        <v>25</v>
      </c>
      <c r="X64" s="190"/>
      <c r="Y64" s="190" t="s">
        <v>25</v>
      </c>
      <c r="Z64" s="120" t="s">
        <v>25</v>
      </c>
      <c r="AA64" s="120" t="s">
        <v>25</v>
      </c>
      <c r="AB64" t="s">
        <v>25</v>
      </c>
      <c r="AC64" s="94" t="s">
        <v>25</v>
      </c>
      <c r="AD64" s="94"/>
      <c r="AI64" s="20">
        <v>45</v>
      </c>
      <c r="AJ64" s="115" t="s">
        <v>4088</v>
      </c>
      <c r="AK64" s="115">
        <v>1300000</v>
      </c>
      <c r="AL64" s="20">
        <v>0</v>
      </c>
      <c r="AM64" s="97">
        <f>AM65+AL64</f>
        <v>1235</v>
      </c>
      <c r="AN64" s="111">
        <f t="shared" si="10"/>
        <v>1605500000</v>
      </c>
      <c r="AO64" s="20"/>
    </row>
    <row r="65" spans="1:41" ht="45">
      <c r="J65" s="112"/>
      <c r="K65" s="241" t="s">
        <v>5516</v>
      </c>
      <c r="L65" s="115">
        <v>-1605910</v>
      </c>
      <c r="M65" s="166"/>
      <c r="N65" s="111"/>
      <c r="P65">
        <f>O22+O28+O33+O51+(O23+O29+O34+O52)*P52/P51</f>
        <v>8786459.8932698853</v>
      </c>
      <c r="Q65">
        <f>(O22+O28+O33+O51)*P51/P52+O23+O29+O34+O52</f>
        <v>22998011.571174376</v>
      </c>
      <c r="R65" s="166" t="s">
        <v>649</v>
      </c>
      <c r="S65" s="166"/>
      <c r="T65" s="166"/>
      <c r="U65" s="166"/>
      <c r="V65" s="166"/>
      <c r="W65" s="166"/>
      <c r="X65" s="32"/>
      <c r="Y65" s="32"/>
      <c r="AA65" t="s">
        <v>25</v>
      </c>
      <c r="AB65" s="113"/>
      <c r="AD65" s="94"/>
      <c r="AI65" s="20">
        <v>45</v>
      </c>
      <c r="AJ65" s="115" t="s">
        <v>4088</v>
      </c>
      <c r="AK65" s="115">
        <v>995000</v>
      </c>
      <c r="AL65" s="20">
        <v>2</v>
      </c>
      <c r="AM65" s="97">
        <f t="shared" ref="AM65:AM92" si="22">AM66+AL65</f>
        <v>1235</v>
      </c>
      <c r="AN65" s="111">
        <f t="shared" si="10"/>
        <v>1228825000</v>
      </c>
      <c r="AO65" s="20"/>
    </row>
    <row r="66" spans="1:41" ht="30">
      <c r="K66" s="205"/>
      <c r="L66" s="115"/>
      <c r="M66" s="166"/>
      <c r="N66" s="111"/>
      <c r="P66">
        <f>O22+O28+O33+O51</f>
        <v>6783281</v>
      </c>
      <c r="Q66" s="113">
        <f>O23+O29+O34+O52</f>
        <v>5243196</v>
      </c>
      <c r="R66" s="166" t="s">
        <v>267</v>
      </c>
      <c r="S66" s="166" t="s">
        <v>180</v>
      </c>
      <c r="T66" s="166" t="s">
        <v>183</v>
      </c>
      <c r="U66" s="166" t="s">
        <v>8</v>
      </c>
      <c r="V66" s="166" t="s">
        <v>4329</v>
      </c>
      <c r="W66" s="71" t="s">
        <v>4331</v>
      </c>
      <c r="X66" s="32">
        <v>2</v>
      </c>
      <c r="Y66" s="32">
        <v>4</v>
      </c>
      <c r="AB66" s="113" t="s">
        <v>25</v>
      </c>
      <c r="AD66" s="94"/>
      <c r="AI66" s="20">
        <v>46</v>
      </c>
      <c r="AJ66" s="115" t="s">
        <v>4097</v>
      </c>
      <c r="AK66" s="115">
        <v>13000000</v>
      </c>
      <c r="AL66" s="20">
        <v>2</v>
      </c>
      <c r="AM66" s="97">
        <f t="shared" si="22"/>
        <v>1233</v>
      </c>
      <c r="AN66" s="111">
        <f t="shared" si="10"/>
        <v>16029000000</v>
      </c>
      <c r="AO66" s="20"/>
    </row>
    <row r="67" spans="1:41">
      <c r="A67" t="s">
        <v>25</v>
      </c>
      <c r="F67" t="s">
        <v>310</v>
      </c>
      <c r="G67" s="9" t="s">
        <v>4080</v>
      </c>
      <c r="I67" s="94" t="s">
        <v>6182</v>
      </c>
      <c r="K67" s="205"/>
      <c r="L67" s="115"/>
      <c r="M67" s="166"/>
      <c r="N67" s="111">
        <f>SUM(N16:N66)</f>
        <v>13242394747.036131</v>
      </c>
      <c r="P67">
        <f>P66*100/P65</f>
        <v>77.201524645844586</v>
      </c>
      <c r="Q67" s="113">
        <f>Q66*100/Q65</f>
        <v>22.798475354155414</v>
      </c>
      <c r="R67" s="166">
        <v>0</v>
      </c>
      <c r="S67" s="166" t="s">
        <v>4149</v>
      </c>
      <c r="T67" s="166">
        <f>T97</f>
        <v>1339</v>
      </c>
      <c r="U67" s="166"/>
      <c r="V67" s="166"/>
      <c r="W67" s="71"/>
      <c r="X67" s="32"/>
      <c r="Y67" s="32"/>
      <c r="AD67" s="94"/>
      <c r="AI67" s="20">
        <v>47</v>
      </c>
      <c r="AJ67" s="115" t="s">
        <v>4110</v>
      </c>
      <c r="AK67" s="115">
        <v>-3100000</v>
      </c>
      <c r="AL67" s="20">
        <v>3</v>
      </c>
      <c r="AM67" s="97">
        <f t="shared" si="22"/>
        <v>1231</v>
      </c>
      <c r="AN67" s="111">
        <f t="shared" si="10"/>
        <v>-3816100000</v>
      </c>
      <c r="AO67" s="20"/>
    </row>
    <row r="68" spans="1:41">
      <c r="F68" t="s">
        <v>4084</v>
      </c>
      <c r="G68" s="9" t="s">
        <v>4079</v>
      </c>
      <c r="I68" s="120" t="s">
        <v>6183</v>
      </c>
      <c r="K68" s="205" t="s">
        <v>592</v>
      </c>
      <c r="L68" s="111">
        <f>SUM(L16:L49)</f>
        <v>58907677.004975319</v>
      </c>
      <c r="M68" s="166"/>
      <c r="N68" s="111">
        <f>N16+N17</f>
        <v>141053</v>
      </c>
      <c r="P68" t="s">
        <v>25</v>
      </c>
      <c r="R68" s="167">
        <v>863944</v>
      </c>
      <c r="S68" s="166" t="s">
        <v>4394</v>
      </c>
      <c r="T68" s="166">
        <f>T67-62</f>
        <v>1277</v>
      </c>
      <c r="U68" s="188" t="s">
        <v>4452</v>
      </c>
      <c r="V68" s="166">
        <v>184.6</v>
      </c>
      <c r="W68" s="166">
        <f t="shared" ref="W68:W84" si="23">V68*(1+$S$93+$R$15*T68/36500)</f>
        <v>368.24311452054792</v>
      </c>
      <c r="X68" s="32">
        <f t="shared" ref="X68:X75" si="24">W68*(1+$X$19/100)</f>
        <v>375.60797681095886</v>
      </c>
      <c r="Y68" s="32">
        <f t="shared" ref="Y68:Y75" si="25">W68*(1+$Y$19/100)</f>
        <v>382.97283910136986</v>
      </c>
      <c r="Z68" s="94">
        <v>4661</v>
      </c>
      <c r="AB68" s="113"/>
      <c r="AD68" s="94"/>
      <c r="AI68" s="20">
        <v>48</v>
      </c>
      <c r="AJ68" s="115" t="s">
        <v>4125</v>
      </c>
      <c r="AK68" s="115">
        <v>45640000</v>
      </c>
      <c r="AL68" s="20">
        <v>1</v>
      </c>
      <c r="AM68" s="97">
        <f t="shared" si="22"/>
        <v>1228</v>
      </c>
      <c r="AN68" s="111">
        <f t="shared" si="10"/>
        <v>56045920000</v>
      </c>
      <c r="AO68" s="20"/>
    </row>
    <row r="69" spans="1:41">
      <c r="F69" t="s">
        <v>4085</v>
      </c>
      <c r="G69" s="9" t="s">
        <v>4081</v>
      </c>
      <c r="I69" s="112" t="s">
        <v>6184</v>
      </c>
      <c r="K69" s="205" t="s">
        <v>593</v>
      </c>
      <c r="L69" s="111">
        <f>L16+L17+L34</f>
        <v>54261214.004975319</v>
      </c>
      <c r="M69" s="111"/>
      <c r="N69" s="166"/>
      <c r="R69" s="167">
        <v>1692313</v>
      </c>
      <c r="S69" s="166" t="s">
        <v>4455</v>
      </c>
      <c r="T69" s="193">
        <f>T68-21</f>
        <v>1256</v>
      </c>
      <c r="U69" s="187" t="s">
        <v>4456</v>
      </c>
      <c r="V69" s="166">
        <v>168.5</v>
      </c>
      <c r="W69" s="166">
        <f t="shared" si="23"/>
        <v>333.41210410958905</v>
      </c>
      <c r="X69" s="32">
        <f t="shared" si="24"/>
        <v>340.08034619178085</v>
      </c>
      <c r="Y69" s="32">
        <f t="shared" si="25"/>
        <v>346.74858827397264</v>
      </c>
      <c r="Z69" s="94">
        <v>10000</v>
      </c>
      <c r="AB69" s="113"/>
      <c r="AD69" s="94"/>
      <c r="AI69" s="20">
        <v>49</v>
      </c>
      <c r="AJ69" s="115" t="s">
        <v>4129</v>
      </c>
      <c r="AK69" s="115">
        <v>33500000</v>
      </c>
      <c r="AL69" s="20">
        <v>1</v>
      </c>
      <c r="AM69" s="97">
        <f t="shared" si="22"/>
        <v>1227</v>
      </c>
      <c r="AN69" s="111">
        <f t="shared" si="10"/>
        <v>41104500000</v>
      </c>
      <c r="AO69" s="20"/>
    </row>
    <row r="70" spans="1:41">
      <c r="G70" t="s">
        <v>4082</v>
      </c>
      <c r="I70" s="120" t="s">
        <v>6190</v>
      </c>
      <c r="K70" s="54" t="s">
        <v>708</v>
      </c>
      <c r="L70" s="111">
        <f>L68+N7</f>
        <v>158907677.00497532</v>
      </c>
      <c r="O70" s="483" t="s">
        <v>6978</v>
      </c>
      <c r="P70" s="483"/>
      <c r="Q70" s="483"/>
      <c r="R70" s="167">
        <v>101153</v>
      </c>
      <c r="S70" s="166" t="s">
        <v>4458</v>
      </c>
      <c r="T70" s="193">
        <f>T69-1</f>
        <v>1255</v>
      </c>
      <c r="U70" s="187" t="s">
        <v>4460</v>
      </c>
      <c r="V70" s="166">
        <v>166.7</v>
      </c>
      <c r="W70" s="166">
        <f t="shared" si="23"/>
        <v>329.72255232876711</v>
      </c>
      <c r="X70" s="32">
        <f t="shared" si="24"/>
        <v>336.31700337534244</v>
      </c>
      <c r="Y70" s="32">
        <f t="shared" si="25"/>
        <v>342.91145442191782</v>
      </c>
      <c r="Z70" s="94">
        <v>604</v>
      </c>
      <c r="AB70" s="120" t="s">
        <v>25</v>
      </c>
      <c r="AI70" s="20">
        <v>50</v>
      </c>
      <c r="AJ70" s="115" t="s">
        <v>4134</v>
      </c>
      <c r="AK70" s="115">
        <v>12000000</v>
      </c>
      <c r="AL70" s="20">
        <v>1</v>
      </c>
      <c r="AM70" s="97">
        <f t="shared" si="22"/>
        <v>1226</v>
      </c>
      <c r="AN70" s="115">
        <f t="shared" si="10"/>
        <v>14712000000</v>
      </c>
      <c r="AO70" s="20"/>
    </row>
    <row r="71" spans="1:41">
      <c r="G71" t="s">
        <v>4083</v>
      </c>
      <c r="M71" s="25"/>
      <c r="O71" s="482" t="s">
        <v>6975</v>
      </c>
      <c r="P71" s="482">
        <v>8867443</v>
      </c>
      <c r="Q71" s="482">
        <v>22289254</v>
      </c>
      <c r="R71" s="167">
        <v>183105</v>
      </c>
      <c r="S71" s="166" t="s">
        <v>4204</v>
      </c>
      <c r="T71" s="193">
        <f>T70-1</f>
        <v>1254</v>
      </c>
      <c r="U71" s="187" t="s">
        <v>4464</v>
      </c>
      <c r="V71" s="166">
        <v>166.6</v>
      </c>
      <c r="W71" s="166">
        <f t="shared" si="23"/>
        <v>329.39695561643833</v>
      </c>
      <c r="X71" s="32">
        <f t="shared" si="24"/>
        <v>335.98489472876713</v>
      </c>
      <c r="Y71" s="32">
        <f t="shared" si="25"/>
        <v>342.57283384109587</v>
      </c>
      <c r="Z71" s="94">
        <v>1094</v>
      </c>
      <c r="AB71" s="113" t="s">
        <v>25</v>
      </c>
      <c r="AI71" s="20">
        <v>51</v>
      </c>
      <c r="AJ71" s="115" t="s">
        <v>4139</v>
      </c>
      <c r="AK71" s="115">
        <v>15500000</v>
      </c>
      <c r="AL71" s="20">
        <v>4</v>
      </c>
      <c r="AM71" s="97">
        <f t="shared" si="22"/>
        <v>1225</v>
      </c>
      <c r="AN71" s="115">
        <f t="shared" si="10"/>
        <v>18987500000</v>
      </c>
      <c r="AO71" s="20"/>
    </row>
    <row r="72" spans="1:41">
      <c r="G72" t="s">
        <v>4087</v>
      </c>
      <c r="O72" t="s">
        <v>6972</v>
      </c>
      <c r="P72">
        <v>8821867</v>
      </c>
      <c r="Q72" s="372">
        <v>22669798</v>
      </c>
      <c r="R72" s="167">
        <v>168846</v>
      </c>
      <c r="S72" s="166" t="s">
        <v>3673</v>
      </c>
      <c r="T72" s="193">
        <f>T71-30</f>
        <v>1224</v>
      </c>
      <c r="U72" s="187" t="s">
        <v>4546</v>
      </c>
      <c r="V72" s="166">
        <v>172.2</v>
      </c>
      <c r="W72" s="166">
        <f t="shared" si="23"/>
        <v>336.5061632876712</v>
      </c>
      <c r="X72" s="32">
        <f t="shared" si="24"/>
        <v>343.23628655342463</v>
      </c>
      <c r="Y72" s="32">
        <f t="shared" si="25"/>
        <v>349.96640981917807</v>
      </c>
      <c r="Z72" s="94">
        <v>976</v>
      </c>
      <c r="AB72" s="113"/>
      <c r="AC72" t="s">
        <v>25</v>
      </c>
      <c r="AI72" s="20">
        <v>52</v>
      </c>
      <c r="AJ72" s="115" t="s">
        <v>4143</v>
      </c>
      <c r="AK72" s="115">
        <v>150000</v>
      </c>
      <c r="AL72" s="20">
        <v>1</v>
      </c>
      <c r="AM72" s="97">
        <f t="shared" si="22"/>
        <v>1221</v>
      </c>
      <c r="AN72" s="115">
        <f t="shared" si="10"/>
        <v>183150000</v>
      </c>
      <c r="AO72" s="20"/>
    </row>
    <row r="73" spans="1:41">
      <c r="G73" t="s">
        <v>4086</v>
      </c>
      <c r="O73" s="113" t="s">
        <v>6966</v>
      </c>
      <c r="P73" s="113">
        <v>8772830</v>
      </c>
      <c r="Q73" s="372">
        <v>23080898</v>
      </c>
      <c r="R73" s="167">
        <v>19918023</v>
      </c>
      <c r="S73" s="5" t="s">
        <v>4765</v>
      </c>
      <c r="T73" s="193">
        <f>T72-75</f>
        <v>1149</v>
      </c>
      <c r="U73" s="187" t="s">
        <v>4767</v>
      </c>
      <c r="V73" s="205">
        <v>183</v>
      </c>
      <c r="W73" s="205">
        <f t="shared" si="23"/>
        <v>347.08231232876716</v>
      </c>
      <c r="X73" s="32">
        <f t="shared" si="24"/>
        <v>354.02395857534253</v>
      </c>
      <c r="Y73" s="32">
        <f t="shared" si="25"/>
        <v>360.96560482191785</v>
      </c>
      <c r="Z73" s="94">
        <v>108344</v>
      </c>
      <c r="AA73" s="113"/>
      <c r="AB73" s="113"/>
      <c r="AI73" s="177">
        <v>53</v>
      </c>
      <c r="AJ73" s="178" t="s">
        <v>4149</v>
      </c>
      <c r="AK73" s="178">
        <v>29000000</v>
      </c>
      <c r="AL73" s="177">
        <v>15</v>
      </c>
      <c r="AM73" s="177">
        <f t="shared" si="22"/>
        <v>1220</v>
      </c>
      <c r="AN73" s="178">
        <f t="shared" si="10"/>
        <v>35380000000</v>
      </c>
      <c r="AO73" s="177" t="s">
        <v>4159</v>
      </c>
    </row>
    <row r="74" spans="1:41">
      <c r="J74" s="205" t="s">
        <v>4479</v>
      </c>
      <c r="K74" s="205" t="s">
        <v>4594</v>
      </c>
      <c r="L74" s="32" t="s">
        <v>4596</v>
      </c>
      <c r="M74" s="32" t="s">
        <v>4571</v>
      </c>
      <c r="N74" s="205" t="s">
        <v>4572</v>
      </c>
      <c r="Q74" s="113"/>
      <c r="R74" s="167">
        <v>1200301</v>
      </c>
      <c r="S74" s="19" t="s">
        <v>4841</v>
      </c>
      <c r="T74" s="193">
        <f>T73-34</f>
        <v>1115</v>
      </c>
      <c r="U74" s="187" t="s">
        <v>4843</v>
      </c>
      <c r="V74" s="205">
        <v>218.5</v>
      </c>
      <c r="W74" s="205">
        <f t="shared" si="23"/>
        <v>408.71352876712331</v>
      </c>
      <c r="X74" s="32">
        <f t="shared" si="24"/>
        <v>416.88779934246577</v>
      </c>
      <c r="Y74" s="32">
        <f t="shared" si="25"/>
        <v>425.06206991780823</v>
      </c>
      <c r="Z74" s="94">
        <v>5468</v>
      </c>
      <c r="AA74" s="113"/>
      <c r="AB74" s="113"/>
      <c r="AC74" s="94"/>
      <c r="AD74" t="s">
        <v>25</v>
      </c>
      <c r="AI74" s="20">
        <v>54</v>
      </c>
      <c r="AJ74" s="115" t="s">
        <v>4183</v>
      </c>
      <c r="AK74" s="115">
        <v>-130000</v>
      </c>
      <c r="AL74" s="20">
        <v>7</v>
      </c>
      <c r="AM74" s="97">
        <f t="shared" si="22"/>
        <v>1205</v>
      </c>
      <c r="AN74" s="115">
        <f t="shared" si="10"/>
        <v>-156650000</v>
      </c>
      <c r="AO74" s="20" t="s">
        <v>4185</v>
      </c>
    </row>
    <row r="75" spans="1:41">
      <c r="H75" s="25"/>
      <c r="I75" s="94"/>
      <c r="J75" s="206" t="s">
        <v>4216</v>
      </c>
      <c r="K75" s="195">
        <v>837</v>
      </c>
      <c r="L75" s="207">
        <f t="shared" ref="L75:L80" si="26">K75*$L$83</f>
        <v>12169980000</v>
      </c>
      <c r="M75" s="207">
        <f>N33+N40+N51</f>
        <v>9697588094</v>
      </c>
      <c r="N75" s="181">
        <f t="shared" ref="N75:N80" si="27">L75-M75</f>
        <v>2472391906</v>
      </c>
      <c r="R75" s="167">
        <v>5837196.2537021004</v>
      </c>
      <c r="S75" s="19" t="s">
        <v>4865</v>
      </c>
      <c r="T75" s="193">
        <f>T74-16</f>
        <v>1099</v>
      </c>
      <c r="U75" s="187" t="s">
        <v>5587</v>
      </c>
      <c r="V75" s="205">
        <v>196.2</v>
      </c>
      <c r="W75" s="205">
        <f t="shared" si="23"/>
        <v>364.5922783561644</v>
      </c>
      <c r="X75" s="32">
        <f t="shared" si="24"/>
        <v>371.88412392328769</v>
      </c>
      <c r="Y75" s="32">
        <f t="shared" si="25"/>
        <v>379.17596949041098</v>
      </c>
      <c r="Z75" s="94">
        <v>29619</v>
      </c>
      <c r="AA75" s="113"/>
      <c r="AB75" s="113"/>
      <c r="AC75" s="94"/>
      <c r="AI75" s="20">
        <v>55</v>
      </c>
      <c r="AJ75" s="115" t="s">
        <v>4231</v>
      </c>
      <c r="AK75" s="115">
        <v>232000</v>
      </c>
      <c r="AL75" s="20">
        <v>2</v>
      </c>
      <c r="AM75" s="97">
        <f t="shared" si="22"/>
        <v>1198</v>
      </c>
      <c r="AN75" s="115">
        <f>AK75*AM75</f>
        <v>277936000</v>
      </c>
      <c r="AO75" s="20" t="s">
        <v>4233</v>
      </c>
    </row>
    <row r="76" spans="1:41">
      <c r="D76" s="3"/>
      <c r="E76" s="11" t="s">
        <v>304</v>
      </c>
      <c r="H76" s="175"/>
      <c r="I76" s="94"/>
      <c r="J76" s="32" t="s">
        <v>5259</v>
      </c>
      <c r="K76" s="205">
        <v>229</v>
      </c>
      <c r="L76" s="1">
        <f t="shared" si="26"/>
        <v>3329660000</v>
      </c>
      <c r="M76" s="1">
        <f>N52+N41+N34</f>
        <v>2966615912</v>
      </c>
      <c r="N76" s="111">
        <f t="shared" si="27"/>
        <v>363044088</v>
      </c>
      <c r="Q76" s="372" t="s">
        <v>25</v>
      </c>
      <c r="R76" s="167">
        <v>2948152</v>
      </c>
      <c r="S76" s="19" t="s">
        <v>5622</v>
      </c>
      <c r="T76" s="193">
        <f>T75-498</f>
        <v>601</v>
      </c>
      <c r="U76" s="187" t="s">
        <v>5623</v>
      </c>
      <c r="V76" s="205">
        <v>1550</v>
      </c>
      <c r="W76" s="205">
        <f t="shared" si="23"/>
        <v>2288.1736986301371</v>
      </c>
      <c r="X76" s="32">
        <f t="shared" ref="X76:X82" si="28">W76*(1+$X$19/100)</f>
        <v>2333.9371726027398</v>
      </c>
      <c r="Y76" s="32">
        <f t="shared" ref="Y76:Y82" si="29">W76*(1+$Y$19/100)</f>
        <v>2379.7006465753425</v>
      </c>
      <c r="Z76" s="94">
        <v>1895</v>
      </c>
      <c r="AC76" s="94" t="s">
        <v>25</v>
      </c>
      <c r="AI76" s="20">
        <v>56</v>
      </c>
      <c r="AJ76" s="115" t="s">
        <v>4241</v>
      </c>
      <c r="AK76" s="115">
        <v>-170000</v>
      </c>
      <c r="AL76" s="20">
        <v>3</v>
      </c>
      <c r="AM76" s="97">
        <f t="shared" si="22"/>
        <v>1196</v>
      </c>
      <c r="AN76" s="115">
        <f t="shared" si="10"/>
        <v>-203320000</v>
      </c>
      <c r="AO76" s="20"/>
    </row>
    <row r="77" spans="1:41">
      <c r="D77" s="1" t="s">
        <v>305</v>
      </c>
      <c r="E77" s="1">
        <v>70000</v>
      </c>
      <c r="H77" s="94"/>
      <c r="I77" s="94"/>
      <c r="J77" s="206" t="s">
        <v>4358</v>
      </c>
      <c r="K77" s="195">
        <v>0</v>
      </c>
      <c r="L77" s="207">
        <f t="shared" si="26"/>
        <v>0</v>
      </c>
      <c r="M77" s="207">
        <f>N55</f>
        <v>0</v>
      </c>
      <c r="N77" s="181">
        <f t="shared" si="27"/>
        <v>0</v>
      </c>
      <c r="R77" s="167"/>
      <c r="S77" s="19" t="s">
        <v>5718</v>
      </c>
      <c r="T77" s="193">
        <f>T76-83</f>
        <v>518</v>
      </c>
      <c r="U77" s="187" t="s">
        <v>5719</v>
      </c>
      <c r="V77" s="205">
        <v>1275</v>
      </c>
      <c r="W77" s="205">
        <f t="shared" si="23"/>
        <v>1801.0265753424658</v>
      </c>
      <c r="X77" s="32">
        <f t="shared" si="28"/>
        <v>1837.047106849315</v>
      </c>
      <c r="Y77" s="32">
        <f t="shared" si="29"/>
        <v>1873.0676383561645</v>
      </c>
      <c r="Z77" s="94">
        <v>48654</v>
      </c>
      <c r="AI77" s="20">
        <v>57</v>
      </c>
      <c r="AJ77" s="115" t="s">
        <v>4255</v>
      </c>
      <c r="AK77" s="115">
        <v>-300000</v>
      </c>
      <c r="AL77" s="20">
        <v>3</v>
      </c>
      <c r="AM77" s="97">
        <f t="shared" si="22"/>
        <v>1193</v>
      </c>
      <c r="AN77" s="115">
        <f t="shared" si="10"/>
        <v>-357900000</v>
      </c>
      <c r="AO77" s="20"/>
    </row>
    <row r="78" spans="1:41">
      <c r="D78" s="1" t="s">
        <v>321</v>
      </c>
      <c r="E78" s="1">
        <v>100000</v>
      </c>
      <c r="H78" s="120" t="s">
        <v>4372</v>
      </c>
      <c r="J78" s="260" t="s">
        <v>5280</v>
      </c>
      <c r="K78" s="187">
        <v>0</v>
      </c>
      <c r="L78" s="261">
        <f t="shared" si="26"/>
        <v>0</v>
      </c>
      <c r="M78" s="261">
        <f>N31+N39+N50</f>
        <v>618</v>
      </c>
      <c r="N78" s="186">
        <f>L78-M78</f>
        <v>-618</v>
      </c>
      <c r="R78" s="167"/>
      <c r="S78" s="19" t="s">
        <v>5726</v>
      </c>
      <c r="T78" s="193">
        <f>T77-5</f>
        <v>513</v>
      </c>
      <c r="U78" s="187" t="s">
        <v>5727</v>
      </c>
      <c r="V78" s="205">
        <v>1210</v>
      </c>
      <c r="W78" s="205">
        <f t="shared" si="23"/>
        <v>1704.5684383561645</v>
      </c>
      <c r="X78" s="32">
        <f t="shared" si="28"/>
        <v>1738.6598071232879</v>
      </c>
      <c r="Y78" s="32">
        <f t="shared" si="29"/>
        <v>1772.7511758904111</v>
      </c>
      <c r="Z78" s="94">
        <v>450</v>
      </c>
      <c r="AA78" s="94"/>
      <c r="AB78" s="94"/>
      <c r="AE78" s="113"/>
      <c r="AF78" s="113"/>
      <c r="AI78" s="20">
        <v>58</v>
      </c>
      <c r="AJ78" s="115" t="s">
        <v>4264</v>
      </c>
      <c r="AK78" s="115">
        <v>-11400000</v>
      </c>
      <c r="AL78" s="20">
        <v>13</v>
      </c>
      <c r="AM78" s="97">
        <f t="shared" ref="AM78:AM83" si="30">AM79+AL78</f>
        <v>1190</v>
      </c>
      <c r="AN78" s="115">
        <f t="shared" si="10"/>
        <v>-13566000000</v>
      </c>
      <c r="AO78" s="20"/>
    </row>
    <row r="79" spans="1:41">
      <c r="D79" s="1" t="s">
        <v>306</v>
      </c>
      <c r="E79" s="1">
        <v>80000</v>
      </c>
      <c r="H79" s="120"/>
      <c r="I79" s="94"/>
      <c r="J79" s="206" t="s">
        <v>314</v>
      </c>
      <c r="K79" s="195">
        <v>0</v>
      </c>
      <c r="L79" s="207">
        <f t="shared" si="26"/>
        <v>0</v>
      </c>
      <c r="M79" s="207">
        <f>N53+N35+N58+N32</f>
        <v>0</v>
      </c>
      <c r="N79" s="181">
        <f t="shared" si="27"/>
        <v>0</v>
      </c>
      <c r="P79" t="s">
        <v>25</v>
      </c>
      <c r="Q79" s="113"/>
      <c r="R79" s="167"/>
      <c r="S79" s="19" t="s">
        <v>5732</v>
      </c>
      <c r="T79" s="193">
        <f>T78-4</f>
        <v>509</v>
      </c>
      <c r="U79" s="187" t="s">
        <v>5733</v>
      </c>
      <c r="V79" s="205">
        <v>1175</v>
      </c>
      <c r="W79" s="205">
        <f t="shared" si="23"/>
        <v>1651.6572602739727</v>
      </c>
      <c r="X79" s="32">
        <f t="shared" si="28"/>
        <v>1684.6904054794522</v>
      </c>
      <c r="Y79" s="32">
        <f t="shared" si="29"/>
        <v>1717.7235506849318</v>
      </c>
      <c r="Z79" s="94">
        <v>27754</v>
      </c>
      <c r="AA79" s="94"/>
      <c r="AB79" s="94"/>
      <c r="AD79" s="113" t="s">
        <v>25</v>
      </c>
      <c r="AE79" s="113"/>
      <c r="AF79" s="113"/>
      <c r="AG79"/>
      <c r="AI79" s="20">
        <v>59</v>
      </c>
      <c r="AJ79" s="115" t="s">
        <v>4313</v>
      </c>
      <c r="AK79" s="115">
        <v>-10000000</v>
      </c>
      <c r="AL79" s="20">
        <v>1</v>
      </c>
      <c r="AM79" s="97">
        <f t="shared" si="30"/>
        <v>1177</v>
      </c>
      <c r="AN79" s="115">
        <f>AK79*AM79</f>
        <v>-11770000000</v>
      </c>
      <c r="AO79" s="20"/>
    </row>
    <row r="80" spans="1:41">
      <c r="D80" s="31" t="s">
        <v>307</v>
      </c>
      <c r="E80" s="1">
        <v>150000</v>
      </c>
      <c r="H80" s="120" t="s">
        <v>4513</v>
      </c>
      <c r="I80" s="94"/>
      <c r="J80" s="236" t="s">
        <v>6841</v>
      </c>
      <c r="K80" s="189">
        <v>-196</v>
      </c>
      <c r="L80" s="237">
        <f t="shared" si="26"/>
        <v>-2849840000</v>
      </c>
      <c r="M80" s="237">
        <v>0</v>
      </c>
      <c r="N80" s="84">
        <f t="shared" si="27"/>
        <v>-2849840000</v>
      </c>
      <c r="P80" s="113"/>
      <c r="R80" s="167"/>
      <c r="S80" s="19" t="s">
        <v>5734</v>
      </c>
      <c r="T80" s="193">
        <f>T79-3</f>
        <v>506</v>
      </c>
      <c r="U80" s="187" t="s">
        <v>5735</v>
      </c>
      <c r="V80" s="205">
        <v>1148</v>
      </c>
      <c r="W80" s="205">
        <f t="shared" si="23"/>
        <v>1611.0623123287673</v>
      </c>
      <c r="X80" s="32">
        <f t="shared" si="28"/>
        <v>1643.2835585753428</v>
      </c>
      <c r="Y80" s="32">
        <f t="shared" si="29"/>
        <v>1675.504804821918</v>
      </c>
      <c r="Z80" s="94">
        <v>8020</v>
      </c>
      <c r="AA80" s="94"/>
      <c r="AB80" s="94"/>
      <c r="AC80" s="113"/>
      <c r="AD80" s="113"/>
      <c r="AE80" s="113"/>
      <c r="AF80" s="113"/>
      <c r="AG80"/>
      <c r="AI80" s="20">
        <v>60</v>
      </c>
      <c r="AJ80" s="115" t="s">
        <v>4314</v>
      </c>
      <c r="AK80" s="115">
        <v>-2450000</v>
      </c>
      <c r="AL80" s="20">
        <v>5</v>
      </c>
      <c r="AM80" s="97">
        <f t="shared" si="30"/>
        <v>1176</v>
      </c>
      <c r="AN80" s="115">
        <f>AK80*AM80</f>
        <v>-2881200000</v>
      </c>
      <c r="AO80" s="20"/>
    </row>
    <row r="81" spans="4:53" ht="45">
      <c r="D81" s="31" t="s">
        <v>308</v>
      </c>
      <c r="E81" s="1">
        <v>300000</v>
      </c>
      <c r="H81" s="201" t="s">
        <v>4609</v>
      </c>
      <c r="I81" s="94"/>
      <c r="J81" s="32"/>
      <c r="K81" s="205"/>
      <c r="L81" s="1"/>
      <c r="M81" s="1"/>
      <c r="N81" s="111"/>
      <c r="R81" s="167"/>
      <c r="S81" s="19" t="s">
        <v>5738</v>
      </c>
      <c r="T81" s="193">
        <f>T80-1</f>
        <v>505</v>
      </c>
      <c r="U81" s="187" t="s">
        <v>5739</v>
      </c>
      <c r="V81" s="205">
        <v>1141</v>
      </c>
      <c r="W81" s="205">
        <f t="shared" si="23"/>
        <v>1600.3634739726028</v>
      </c>
      <c r="X81" s="32">
        <f t="shared" si="28"/>
        <v>1632.370743452055</v>
      </c>
      <c r="Y81" s="32">
        <f t="shared" si="29"/>
        <v>1664.3780129315071</v>
      </c>
      <c r="Z81" s="94">
        <v>3695</v>
      </c>
      <c r="AA81" s="94"/>
      <c r="AB81" s="94"/>
      <c r="AC81" s="113" t="s">
        <v>25</v>
      </c>
      <c r="AE81" s="113"/>
      <c r="AF81" s="113"/>
      <c r="AG81" s="113"/>
      <c r="AI81" s="20">
        <v>61</v>
      </c>
      <c r="AJ81" s="115" t="s">
        <v>4338</v>
      </c>
      <c r="AK81" s="115">
        <v>-456081</v>
      </c>
      <c r="AL81" s="20">
        <v>1</v>
      </c>
      <c r="AM81" s="97">
        <f t="shared" si="30"/>
        <v>1171</v>
      </c>
      <c r="AN81" s="115">
        <f t="shared" si="10"/>
        <v>-534070851</v>
      </c>
      <c r="AO81" s="20"/>
    </row>
    <row r="82" spans="4:53" ht="31.5">
      <c r="D82" s="31" t="s">
        <v>309</v>
      </c>
      <c r="E82" s="1">
        <v>100000</v>
      </c>
      <c r="F82" s="204"/>
      <c r="G82" s="22" t="s">
        <v>4630</v>
      </c>
      <c r="H82" s="238" t="s">
        <v>4914</v>
      </c>
      <c r="I82" s="94"/>
      <c r="J82" s="206" t="s">
        <v>4977</v>
      </c>
      <c r="K82" s="195">
        <f>SUM(K75:K80)</f>
        <v>870</v>
      </c>
      <c r="L82" s="207"/>
      <c r="M82" s="207"/>
      <c r="N82" s="181"/>
      <c r="R82" s="167"/>
      <c r="S82" s="19" t="s">
        <v>5736</v>
      </c>
      <c r="T82" s="193">
        <f>T81-1</f>
        <v>504</v>
      </c>
      <c r="U82" s="187" t="s">
        <v>6977</v>
      </c>
      <c r="V82" s="205">
        <v>1171</v>
      </c>
      <c r="W82" s="205">
        <f t="shared" si="23"/>
        <v>1641.5430904109592</v>
      </c>
      <c r="X82" s="32">
        <f t="shared" si="28"/>
        <v>1674.3739522191784</v>
      </c>
      <c r="Y82" s="32">
        <f t="shared" si="29"/>
        <v>1707.2048140273976</v>
      </c>
      <c r="Z82" s="94">
        <v>48496</v>
      </c>
      <c r="AC82" s="113"/>
      <c r="AD82" s="113"/>
      <c r="AE82" s="113"/>
      <c r="AF82" s="113"/>
      <c r="AG82" s="113"/>
      <c r="AI82" s="20">
        <v>62</v>
      </c>
      <c r="AJ82" s="115" t="s">
        <v>4340</v>
      </c>
      <c r="AK82" s="115">
        <v>-500000</v>
      </c>
      <c r="AL82" s="20">
        <v>2</v>
      </c>
      <c r="AM82" s="97">
        <f t="shared" si="30"/>
        <v>1170</v>
      </c>
      <c r="AN82" s="115">
        <f t="shared" si="10"/>
        <v>-585000000</v>
      </c>
      <c r="AO82" s="20"/>
      <c r="AP82" t="s">
        <v>25</v>
      </c>
      <c r="AV82"/>
      <c r="AX82" t="s">
        <v>25</v>
      </c>
    </row>
    <row r="83" spans="4:53">
      <c r="D83" s="31" t="s">
        <v>310</v>
      </c>
      <c r="E83" s="1">
        <v>200000</v>
      </c>
      <c r="F83" t="s">
        <v>4651</v>
      </c>
      <c r="H83" s="120"/>
      <c r="J83" s="32"/>
      <c r="K83" s="205">
        <v>0</v>
      </c>
      <c r="L83" s="39">
        <f>10*P59</f>
        <v>14540000</v>
      </c>
      <c r="M83" s="1">
        <f>K83*L83</f>
        <v>0</v>
      </c>
      <c r="N83" s="111">
        <f>SUM(N75:N81)-M83</f>
        <v>-14404624</v>
      </c>
      <c r="R83" s="167"/>
      <c r="S83" s="19" t="s">
        <v>5796</v>
      </c>
      <c r="T83" s="193">
        <f>T82-65</f>
        <v>439</v>
      </c>
      <c r="U83" s="187" t="s">
        <v>5797</v>
      </c>
      <c r="V83" s="205">
        <v>1255.0999999999999</v>
      </c>
      <c r="W83" s="205">
        <f t="shared" si="23"/>
        <v>1696.8539364383562</v>
      </c>
      <c r="X83" s="32">
        <f t="shared" ref="X83:X88" si="31">W83*(1+$X$19/100)</f>
        <v>1730.7910151671233</v>
      </c>
      <c r="Y83" s="32">
        <f t="shared" ref="Y83:Y88" si="32">W83*(1+$Y$19/100)</f>
        <v>1764.7280938958904</v>
      </c>
      <c r="Z83" s="94"/>
      <c r="AA83" s="94">
        <v>26860</v>
      </c>
      <c r="AB83" s="94">
        <f>AA83*3</f>
        <v>80580</v>
      </c>
      <c r="AC83" s="113"/>
      <c r="AD83" s="126"/>
      <c r="AE83" s="113"/>
      <c r="AF83" s="113"/>
      <c r="AG83" s="113"/>
      <c r="AI83" s="20">
        <v>63</v>
      </c>
      <c r="AJ83" s="115" t="s">
        <v>4356</v>
      </c>
      <c r="AK83" s="115">
        <v>-6234370</v>
      </c>
      <c r="AL83" s="20">
        <v>3</v>
      </c>
      <c r="AM83" s="97">
        <f t="shared" si="30"/>
        <v>1168</v>
      </c>
      <c r="AN83" s="115">
        <f t="shared" si="10"/>
        <v>-7281744160</v>
      </c>
      <c r="AO83" s="20"/>
      <c r="AV83"/>
    </row>
    <row r="84" spans="4:53">
      <c r="D84" s="18" t="s">
        <v>311</v>
      </c>
      <c r="E84" s="18">
        <v>300000</v>
      </c>
      <c r="F84" t="s">
        <v>4516</v>
      </c>
      <c r="G84" s="94"/>
      <c r="H84" s="94"/>
      <c r="I84" s="94"/>
      <c r="J84" s="206"/>
      <c r="K84" s="224"/>
      <c r="L84" s="207" t="s">
        <v>4226</v>
      </c>
      <c r="M84" s="207" t="s">
        <v>4588</v>
      </c>
      <c r="N84" s="181" t="s">
        <v>4589</v>
      </c>
      <c r="R84" s="167"/>
      <c r="S84" s="19" t="s">
        <v>6827</v>
      </c>
      <c r="T84" s="193">
        <f>T97-1169</f>
        <v>170</v>
      </c>
      <c r="U84" s="187" t="s">
        <v>6830</v>
      </c>
      <c r="V84" s="205">
        <v>436.6</v>
      </c>
      <c r="W84" s="205">
        <f t="shared" si="23"/>
        <v>500.17374465753431</v>
      </c>
      <c r="X84" s="32">
        <f t="shared" si="31"/>
        <v>510.17721955068498</v>
      </c>
      <c r="Y84" s="32">
        <f t="shared" si="32"/>
        <v>520.1806944438357</v>
      </c>
      <c r="Z84" s="405"/>
      <c r="AA84" s="405"/>
      <c r="AB84" s="405">
        <v>2217</v>
      </c>
      <c r="AC84" s="113"/>
      <c r="AD84" s="126"/>
      <c r="AE84" s="113"/>
      <c r="AF84" s="113"/>
      <c r="AG84" s="113"/>
      <c r="AI84" s="20">
        <v>64</v>
      </c>
      <c r="AJ84" s="115" t="s">
        <v>4365</v>
      </c>
      <c r="AK84" s="115">
        <v>1950957</v>
      </c>
      <c r="AL84" s="20">
        <v>4</v>
      </c>
      <c r="AM84" s="97">
        <f t="shared" si="22"/>
        <v>1165</v>
      </c>
      <c r="AN84" s="115">
        <f t="shared" si="10"/>
        <v>2272864905</v>
      </c>
      <c r="AO84" s="20"/>
      <c r="BA84" t="s">
        <v>25</v>
      </c>
    </row>
    <row r="85" spans="4:53">
      <c r="D85" s="32" t="s">
        <v>312</v>
      </c>
      <c r="E85" s="1">
        <v>200000</v>
      </c>
      <c r="F85" t="s">
        <v>4706</v>
      </c>
      <c r="J85" s="485" t="s">
        <v>4595</v>
      </c>
      <c r="K85" s="486"/>
      <c r="L85" s="1"/>
      <c r="M85" s="1"/>
      <c r="N85" s="111"/>
      <c r="P85" s="113"/>
      <c r="R85" s="167"/>
      <c r="S85" s="19"/>
      <c r="T85" s="193"/>
      <c r="U85" s="187"/>
      <c r="V85" s="205"/>
      <c r="W85" s="205"/>
      <c r="X85" s="32"/>
      <c r="Y85" s="32"/>
      <c r="Z85" s="405"/>
      <c r="AA85" s="405"/>
      <c r="AB85" s="405"/>
      <c r="AC85" s="113"/>
      <c r="AD85" s="126"/>
      <c r="AE85" s="113"/>
      <c r="AF85" s="113"/>
      <c r="AG85" s="113"/>
      <c r="AI85" s="20">
        <v>65</v>
      </c>
      <c r="AJ85" s="115" t="s">
        <v>4388</v>
      </c>
      <c r="AK85" s="115">
        <v>600000</v>
      </c>
      <c r="AL85" s="20">
        <v>5</v>
      </c>
      <c r="AM85" s="97">
        <f t="shared" si="22"/>
        <v>1161</v>
      </c>
      <c r="AN85" s="115">
        <f t="shared" si="10"/>
        <v>696600000</v>
      </c>
      <c r="AO85" s="20"/>
    </row>
    <row r="86" spans="4:53">
      <c r="D86" s="32" t="s">
        <v>313</v>
      </c>
      <c r="E86" s="1">
        <v>20000</v>
      </c>
      <c r="F86" t="s">
        <v>4707</v>
      </c>
      <c r="R86" s="167"/>
      <c r="S86" s="19"/>
      <c r="T86" s="193"/>
      <c r="U86" s="187"/>
      <c r="V86" s="205"/>
      <c r="W86" s="205">
        <f>V86*(1+$S$93+$R$15*T86/36500)</f>
        <v>0</v>
      </c>
      <c r="X86" s="32">
        <f t="shared" si="31"/>
        <v>0</v>
      </c>
      <c r="Y86" s="32">
        <f t="shared" si="32"/>
        <v>0</v>
      </c>
      <c r="Z86" s="94"/>
      <c r="AA86" s="94"/>
      <c r="AB86" s="94"/>
      <c r="AC86" s="113"/>
      <c r="AD86" s="126"/>
      <c r="AE86" s="113"/>
      <c r="AF86" s="113"/>
      <c r="AG86" s="113"/>
      <c r="AI86" s="20">
        <v>66</v>
      </c>
      <c r="AJ86" s="115" t="s">
        <v>4396</v>
      </c>
      <c r="AK86" s="115">
        <v>7500000</v>
      </c>
      <c r="AL86" s="20">
        <v>2</v>
      </c>
      <c r="AM86" s="97">
        <f t="shared" si="22"/>
        <v>1156</v>
      </c>
      <c r="AN86" s="115">
        <f t="shared" si="10"/>
        <v>8670000000</v>
      </c>
      <c r="AO86" s="20"/>
      <c r="AT86" s="94"/>
    </row>
    <row r="87" spans="4:53" ht="26.25">
      <c r="D87" s="32" t="s">
        <v>315</v>
      </c>
      <c r="E87" s="1">
        <v>50000</v>
      </c>
      <c r="F87" t="s">
        <v>4708</v>
      </c>
      <c r="H87" s="235"/>
      <c r="R87" s="167"/>
      <c r="S87" s="19"/>
      <c r="T87" s="193"/>
      <c r="U87" s="187"/>
      <c r="V87" s="205"/>
      <c r="W87" s="205">
        <f>V87*(1+$S$93+$R$15*T87/36500)</f>
        <v>0</v>
      </c>
      <c r="X87" s="32">
        <f t="shared" si="31"/>
        <v>0</v>
      </c>
      <c r="Y87" s="32">
        <f t="shared" si="32"/>
        <v>0</v>
      </c>
      <c r="Z87" s="94"/>
      <c r="AA87" s="94"/>
      <c r="AB87" s="94"/>
      <c r="AC87" s="113" t="s">
        <v>25</v>
      </c>
      <c r="AD87" s="126"/>
      <c r="AE87" s="113"/>
      <c r="AF87" s="113"/>
      <c r="AG87" s="113"/>
      <c r="AI87" s="20">
        <v>67</v>
      </c>
      <c r="AJ87" s="115" t="s">
        <v>4400</v>
      </c>
      <c r="AK87" s="115">
        <v>-587816</v>
      </c>
      <c r="AL87" s="20">
        <v>3</v>
      </c>
      <c r="AM87" s="97">
        <f t="shared" si="22"/>
        <v>1154</v>
      </c>
      <c r="AN87" s="115">
        <f t="shared" si="10"/>
        <v>-678339664</v>
      </c>
      <c r="AO87" s="20"/>
      <c r="AT87" s="94"/>
    </row>
    <row r="88" spans="4:53">
      <c r="D88" s="32" t="s">
        <v>316</v>
      </c>
      <c r="E88" s="1">
        <v>90000</v>
      </c>
      <c r="F88" t="s">
        <v>4478</v>
      </c>
      <c r="R88" s="167"/>
      <c r="S88" s="166"/>
      <c r="T88" s="111"/>
      <c r="U88" s="111"/>
      <c r="V88" s="166" t="s">
        <v>25</v>
      </c>
      <c r="W88" s="205" t="e">
        <f>V88*(1+$S$93+$R$15*T88/36500)</f>
        <v>#VALUE!</v>
      </c>
      <c r="X88" s="32" t="e">
        <f t="shared" si="31"/>
        <v>#VALUE!</v>
      </c>
      <c r="Y88" s="32" t="e">
        <f t="shared" si="32"/>
        <v>#VALUE!</v>
      </c>
      <c r="AA88" t="s">
        <v>25</v>
      </c>
      <c r="AC88" s="113"/>
      <c r="AD88" s="126"/>
      <c r="AE88" s="113"/>
      <c r="AF88" s="113"/>
      <c r="AG88" s="113"/>
      <c r="AI88" s="20">
        <v>68</v>
      </c>
      <c r="AJ88" s="115" t="s">
        <v>4399</v>
      </c>
      <c r="AK88" s="115">
        <v>-907489</v>
      </c>
      <c r="AL88" s="20">
        <v>0</v>
      </c>
      <c r="AM88" s="97">
        <f>AM89+AL88</f>
        <v>1151</v>
      </c>
      <c r="AN88" s="115">
        <f t="shared" si="10"/>
        <v>-1044519839</v>
      </c>
      <c r="AO88" s="20"/>
      <c r="AQ88" t="s">
        <v>25</v>
      </c>
      <c r="AW88" t="s">
        <v>25</v>
      </c>
    </row>
    <row r="89" spans="4:53">
      <c r="D89" s="32" t="s">
        <v>317</v>
      </c>
      <c r="E89" s="1">
        <v>50000</v>
      </c>
      <c r="F89" t="s">
        <v>4519</v>
      </c>
      <c r="H89" s="240" t="s">
        <v>4919</v>
      </c>
      <c r="R89" s="111">
        <f>SUM(N41:N41)-SUM(R67:R88)</f>
        <v>13618880.7462979</v>
      </c>
      <c r="S89" s="166"/>
      <c r="T89" s="166"/>
      <c r="U89" s="166"/>
      <c r="V89" s="166"/>
      <c r="W89" s="166"/>
      <c r="X89" s="32"/>
      <c r="Y89" s="32"/>
      <c r="AA89" t="s">
        <v>25</v>
      </c>
      <c r="AB89" t="s">
        <v>25</v>
      </c>
      <c r="AD89" s="113" t="s">
        <v>25</v>
      </c>
      <c r="AE89" s="113"/>
      <c r="AF89" s="113"/>
      <c r="AG89" s="113"/>
      <c r="AH89" s="113"/>
      <c r="AI89" s="20">
        <v>69</v>
      </c>
      <c r="AJ89" s="115" t="s">
        <v>4399</v>
      </c>
      <c r="AK89" s="115">
        <v>2450000</v>
      </c>
      <c r="AL89" s="20">
        <v>1</v>
      </c>
      <c r="AM89" s="97">
        <f t="shared" si="22"/>
        <v>1151</v>
      </c>
      <c r="AN89" s="115">
        <f t="shared" si="10"/>
        <v>2819950000</v>
      </c>
      <c r="AO89" s="20" t="s">
        <v>4427</v>
      </c>
      <c r="AR89" t="s">
        <v>25</v>
      </c>
      <c r="AS89" t="s">
        <v>25</v>
      </c>
    </row>
    <row r="90" spans="4:53">
      <c r="D90" s="32" t="s">
        <v>327</v>
      </c>
      <c r="E90" s="1">
        <v>150000</v>
      </c>
      <c r="F90" t="s">
        <v>4477</v>
      </c>
      <c r="H90" s="240" t="s">
        <v>4920</v>
      </c>
      <c r="S90" s="113"/>
      <c r="T90" s="113"/>
      <c r="U90" s="113" t="s">
        <v>25</v>
      </c>
      <c r="V90" s="113" t="s">
        <v>25</v>
      </c>
      <c r="W90" s="113" t="s">
        <v>25</v>
      </c>
      <c r="X90" s="190" t="s">
        <v>25</v>
      </c>
      <c r="Y90" s="190"/>
      <c r="AB90" t="s">
        <v>25</v>
      </c>
      <c r="AD90" s="113"/>
      <c r="AE90" s="113"/>
      <c r="AF90"/>
      <c r="AH90" s="113"/>
      <c r="AI90" s="20">
        <v>70</v>
      </c>
      <c r="AJ90" s="115" t="s">
        <v>4429</v>
      </c>
      <c r="AK90" s="115">
        <v>1500000</v>
      </c>
      <c r="AL90" s="20">
        <v>1</v>
      </c>
      <c r="AM90" s="97">
        <f t="shared" si="22"/>
        <v>1150</v>
      </c>
      <c r="AN90" s="115">
        <f t="shared" si="10"/>
        <v>1725000000</v>
      </c>
      <c r="AO90" s="20"/>
      <c r="AQ90" t="s">
        <v>25</v>
      </c>
      <c r="AV90" s="94" t="s">
        <v>25</v>
      </c>
    </row>
    <row r="91" spans="4:53">
      <c r="D91" s="32" t="s">
        <v>318</v>
      </c>
      <c r="E91" s="1">
        <v>15000</v>
      </c>
      <c r="F91" s="22" t="s">
        <v>4216</v>
      </c>
      <c r="R91" s="97" t="s">
        <v>932</v>
      </c>
      <c r="S91" s="97">
        <v>1.03E-2</v>
      </c>
      <c r="T91" s="26" t="s">
        <v>25</v>
      </c>
      <c r="U91" t="s">
        <v>25</v>
      </c>
      <c r="V91" s="94" t="s">
        <v>25</v>
      </c>
      <c r="W91" s="113" t="s">
        <v>25</v>
      </c>
      <c r="X91" s="190" t="s">
        <v>25</v>
      </c>
      <c r="Y91" s="190"/>
      <c r="AA91" t="s">
        <v>25</v>
      </c>
      <c r="AF91"/>
      <c r="AH91" s="94"/>
      <c r="AI91" s="20">
        <v>71</v>
      </c>
      <c r="AJ91" s="115" t="s">
        <v>4435</v>
      </c>
      <c r="AK91" s="115">
        <v>2648000</v>
      </c>
      <c r="AL91" s="20">
        <v>1</v>
      </c>
      <c r="AM91" s="97">
        <f t="shared" si="22"/>
        <v>1149</v>
      </c>
      <c r="AN91" s="115">
        <f t="shared" si="10"/>
        <v>3042552000</v>
      </c>
      <c r="AO91" s="20" t="s">
        <v>4436</v>
      </c>
      <c r="AV91" s="94" t="s">
        <v>25</v>
      </c>
    </row>
    <row r="92" spans="4:53">
      <c r="D92" s="32" t="s">
        <v>319</v>
      </c>
      <c r="E92" s="1">
        <v>20000</v>
      </c>
      <c r="F92" t="s">
        <v>4474</v>
      </c>
      <c r="R92" s="97" t="s">
        <v>61</v>
      </c>
      <c r="S92" s="97">
        <v>4.8999999999999998E-3</v>
      </c>
      <c r="U92" s="112" t="s">
        <v>25</v>
      </c>
      <c r="V92" s="94" t="s">
        <v>25</v>
      </c>
      <c r="W92" t="s">
        <v>25</v>
      </c>
      <c r="X92" s="190" t="s">
        <v>25</v>
      </c>
      <c r="Y92" s="190" t="s">
        <v>25</v>
      </c>
      <c r="Z92" s="94"/>
      <c r="AA92" s="94"/>
      <c r="AB92" s="94"/>
      <c r="AF92"/>
      <c r="AH92" s="94"/>
      <c r="AI92" s="20">
        <v>72</v>
      </c>
      <c r="AJ92" s="115" t="s">
        <v>4205</v>
      </c>
      <c r="AK92" s="115">
        <v>615000</v>
      </c>
      <c r="AL92" s="20">
        <v>4</v>
      </c>
      <c r="AM92" s="97">
        <f t="shared" si="22"/>
        <v>1148</v>
      </c>
      <c r="AN92" s="115">
        <f t="shared" si="10"/>
        <v>706020000</v>
      </c>
      <c r="AO92" s="20"/>
      <c r="AW92" t="s">
        <v>25</v>
      </c>
    </row>
    <row r="93" spans="4:53" ht="18.75">
      <c r="D93" s="32" t="s">
        <v>320</v>
      </c>
      <c r="E93" s="1">
        <v>40000</v>
      </c>
      <c r="F93" t="s">
        <v>4268</v>
      </c>
      <c r="H93" s="280" t="s">
        <v>6834</v>
      </c>
      <c r="R93" s="97" t="s">
        <v>6</v>
      </c>
      <c r="S93" s="97">
        <f>S91+S92</f>
        <v>1.52E-2</v>
      </c>
      <c r="U93" t="s">
        <v>25</v>
      </c>
      <c r="V93" s="94" t="s">
        <v>25</v>
      </c>
      <c r="W93" t="s">
        <v>25</v>
      </c>
      <c r="X93" s="190"/>
      <c r="Y93" s="190"/>
      <c r="Z93" s="94"/>
      <c r="AA93" s="94"/>
      <c r="AB93" s="94" t="s">
        <v>25</v>
      </c>
      <c r="AF93"/>
      <c r="AH93" s="94"/>
      <c r="AI93" s="20">
        <v>73</v>
      </c>
      <c r="AJ93" s="115" t="s">
        <v>4446</v>
      </c>
      <c r="AK93" s="115">
        <v>14000000</v>
      </c>
      <c r="AL93" s="20">
        <v>2</v>
      </c>
      <c r="AM93" s="97">
        <f>AM94+AL93</f>
        <v>1144</v>
      </c>
      <c r="AN93" s="115">
        <f t="shared" si="10"/>
        <v>16016000000</v>
      </c>
      <c r="AO93" s="20"/>
    </row>
    <row r="94" spans="4:53">
      <c r="D94" s="32" t="s">
        <v>322</v>
      </c>
      <c r="E94" s="1">
        <v>150000</v>
      </c>
      <c r="F94" s="94"/>
      <c r="G94" s="94"/>
      <c r="H94" s="94"/>
      <c r="I94" s="94" t="s">
        <v>25</v>
      </c>
      <c r="X94" s="190"/>
      <c r="Y94" s="190"/>
      <c r="AB94" t="s">
        <v>25</v>
      </c>
      <c r="AI94" s="20">
        <v>74</v>
      </c>
      <c r="AJ94" s="115" t="s">
        <v>4450</v>
      </c>
      <c r="AK94" s="115">
        <v>1313000</v>
      </c>
      <c r="AL94" s="20">
        <v>0</v>
      </c>
      <c r="AM94" s="97">
        <f>AM95+AL94</f>
        <v>1142</v>
      </c>
      <c r="AN94" s="115">
        <f t="shared" si="10"/>
        <v>1499446000</v>
      </c>
      <c r="AO94" s="20"/>
      <c r="AR94" t="s">
        <v>25</v>
      </c>
    </row>
    <row r="95" spans="4:53" ht="30">
      <c r="D95" s="32" t="s">
        <v>324</v>
      </c>
      <c r="E95" s="1">
        <v>75000</v>
      </c>
      <c r="F95" s="94"/>
      <c r="G95" s="94"/>
      <c r="H95" s="94"/>
      <c r="I95" s="94"/>
      <c r="R95" s="71" t="s">
        <v>4267</v>
      </c>
      <c r="S95" s="110"/>
      <c r="T95" s="110"/>
      <c r="U95" s="110"/>
      <c r="V95" s="166" t="s">
        <v>4329</v>
      </c>
      <c r="W95" s="36" t="s">
        <v>4331</v>
      </c>
      <c r="X95" s="32"/>
      <c r="Y95" s="32"/>
      <c r="Z95" s="94"/>
      <c r="AA95" s="94"/>
      <c r="AB95" s="94"/>
      <c r="AI95" s="97">
        <v>75</v>
      </c>
      <c r="AJ95" s="111" t="s">
        <v>4450</v>
      </c>
      <c r="AK95" s="111">
        <v>2269000</v>
      </c>
      <c r="AL95" s="97">
        <v>1</v>
      </c>
      <c r="AM95" s="97">
        <f t="shared" ref="AM95:AM120" si="33">AM96+AL95</f>
        <v>1142</v>
      </c>
      <c r="AN95" s="115">
        <f t="shared" si="10"/>
        <v>2591198000</v>
      </c>
      <c r="AO95" s="97"/>
    </row>
    <row r="96" spans="4:53">
      <c r="D96" s="32" t="s">
        <v>314</v>
      </c>
      <c r="E96" s="1">
        <v>140000</v>
      </c>
      <c r="F96" s="94"/>
      <c r="G96" s="94"/>
      <c r="H96" s="94"/>
      <c r="I96" s="94" t="s">
        <v>25</v>
      </c>
      <c r="R96" s="110" t="s">
        <v>267</v>
      </c>
      <c r="S96" s="110" t="s">
        <v>180</v>
      </c>
      <c r="T96" s="110" t="s">
        <v>183</v>
      </c>
      <c r="U96" s="110" t="s">
        <v>8</v>
      </c>
      <c r="V96" s="166"/>
      <c r="W96" s="97"/>
      <c r="X96" s="32">
        <v>2</v>
      </c>
      <c r="Y96" s="32">
        <v>4</v>
      </c>
      <c r="AI96" s="97">
        <v>76</v>
      </c>
      <c r="AJ96" s="111" t="s">
        <v>4206</v>
      </c>
      <c r="AK96" s="111">
        <v>750000</v>
      </c>
      <c r="AL96" s="97">
        <v>4</v>
      </c>
      <c r="AM96" s="97">
        <f t="shared" si="33"/>
        <v>1141</v>
      </c>
      <c r="AN96" s="115">
        <f t="shared" si="10"/>
        <v>855750000</v>
      </c>
      <c r="AO96" s="97"/>
      <c r="AR96" t="s">
        <v>25</v>
      </c>
    </row>
    <row r="97" spans="4:48">
      <c r="D97" s="2" t="s">
        <v>476</v>
      </c>
      <c r="E97" s="3">
        <v>1083333</v>
      </c>
      <c r="F97" s="311"/>
      <c r="G97" s="311"/>
      <c r="H97" s="311"/>
      <c r="I97" s="311"/>
      <c r="R97" s="35">
        <v>38474780.062005915</v>
      </c>
      <c r="S97" s="5" t="s">
        <v>4149</v>
      </c>
      <c r="T97" s="5">
        <v>1339</v>
      </c>
      <c r="U97" s="5" t="s">
        <v>5555</v>
      </c>
      <c r="V97" s="166">
        <v>192</v>
      </c>
      <c r="W97" s="97">
        <f t="shared" ref="W97:W127" si="34">V97*(1+$S$93+$R$15*T97/36500)</f>
        <v>392.1365917808219</v>
      </c>
      <c r="X97" s="32">
        <f t="shared" ref="X97:X111" si="35">W97*(1+$X$19/100)</f>
        <v>399.97932361643836</v>
      </c>
      <c r="Y97" s="32">
        <f t="shared" ref="Y97:Y111" si="36">W97*(1+$Y$19/100)</f>
        <v>407.82205545205477</v>
      </c>
      <c r="Z97" s="94">
        <v>200000</v>
      </c>
      <c r="AI97" s="97">
        <v>77</v>
      </c>
      <c r="AJ97" s="111" t="s">
        <v>4455</v>
      </c>
      <c r="AK97" s="111">
        <v>1900000</v>
      </c>
      <c r="AL97" s="97">
        <v>3</v>
      </c>
      <c r="AM97" s="97">
        <f t="shared" si="33"/>
        <v>1137</v>
      </c>
      <c r="AN97" s="115">
        <f t="shared" si="10"/>
        <v>2160300000</v>
      </c>
      <c r="AO97" s="97"/>
    </row>
    <row r="98" spans="4:48">
      <c r="D98" s="2"/>
      <c r="E98" s="3"/>
      <c r="F98" s="94"/>
      <c r="G98" s="94"/>
      <c r="H98" s="94"/>
      <c r="I98" s="94"/>
      <c r="R98" s="167">
        <v>433201621</v>
      </c>
      <c r="S98" s="205" t="s">
        <v>5559</v>
      </c>
      <c r="T98" s="205">
        <f>T97-695</f>
        <v>644</v>
      </c>
      <c r="U98" s="205" t="s">
        <v>5566</v>
      </c>
      <c r="V98" s="205">
        <v>1995.5</v>
      </c>
      <c r="W98" s="97">
        <f t="shared" si="34"/>
        <v>3011.6632712328769</v>
      </c>
      <c r="X98" s="32">
        <f t="shared" si="35"/>
        <v>3071.8965366575344</v>
      </c>
      <c r="Y98" s="32">
        <f t="shared" si="36"/>
        <v>3132.1298020821923</v>
      </c>
      <c r="Z98">
        <v>216287</v>
      </c>
      <c r="AA98" t="s">
        <v>25</v>
      </c>
      <c r="AI98" s="97">
        <v>78</v>
      </c>
      <c r="AJ98" s="111" t="s">
        <v>4468</v>
      </c>
      <c r="AK98" s="111">
        <v>6400000</v>
      </c>
      <c r="AL98" s="97">
        <v>1</v>
      </c>
      <c r="AM98" s="97">
        <f t="shared" si="33"/>
        <v>1134</v>
      </c>
      <c r="AN98" s="115">
        <f t="shared" si="10"/>
        <v>7257600000</v>
      </c>
      <c r="AO98" s="97"/>
    </row>
    <row r="99" spans="4:48">
      <c r="D99" s="2"/>
      <c r="E99" s="3"/>
      <c r="F99" s="407"/>
      <c r="G99" s="407"/>
      <c r="H99" s="407"/>
      <c r="I99" s="407"/>
      <c r="R99" s="167">
        <v>8201348.2384272004</v>
      </c>
      <c r="S99" s="205" t="s">
        <v>5562</v>
      </c>
      <c r="T99" s="205">
        <f>T98-5</f>
        <v>639</v>
      </c>
      <c r="U99" s="205" t="s">
        <v>5615</v>
      </c>
      <c r="V99" s="205">
        <v>1751</v>
      </c>
      <c r="W99" s="97">
        <f t="shared" si="34"/>
        <v>2635.9410082191785</v>
      </c>
      <c r="X99" s="32">
        <f t="shared" si="35"/>
        <v>2688.6598283835619</v>
      </c>
      <c r="Y99" s="32">
        <f t="shared" si="36"/>
        <v>2741.3786485479459</v>
      </c>
      <c r="Z99">
        <v>4667</v>
      </c>
      <c r="AI99" s="97">
        <v>79</v>
      </c>
      <c r="AJ99" s="111" t="s">
        <v>4466</v>
      </c>
      <c r="AK99" s="111">
        <v>5000</v>
      </c>
      <c r="AL99" s="97">
        <v>5</v>
      </c>
      <c r="AM99" s="97">
        <f t="shared" si="33"/>
        <v>1133</v>
      </c>
      <c r="AN99" s="115">
        <f t="shared" si="10"/>
        <v>5665000</v>
      </c>
      <c r="AO99" s="97"/>
      <c r="AQ99" t="s">
        <v>25</v>
      </c>
    </row>
    <row r="100" spans="4:48">
      <c r="D100" s="2" t="s">
        <v>6</v>
      </c>
      <c r="E100" s="3">
        <f>SUM(E77:E98)</f>
        <v>3383333</v>
      </c>
      <c r="F100" s="407"/>
      <c r="G100" s="407"/>
      <c r="H100" s="407"/>
      <c r="I100" s="407"/>
      <c r="R100" s="167">
        <v>106896832</v>
      </c>
      <c r="S100" s="205" t="s">
        <v>5617</v>
      </c>
      <c r="T100" s="205">
        <f>T99-36</f>
        <v>603</v>
      </c>
      <c r="U100" s="205" t="s">
        <v>5618</v>
      </c>
      <c r="V100" s="205">
        <v>1715</v>
      </c>
      <c r="W100" s="97">
        <f t="shared" si="34"/>
        <v>2534.3847123287674</v>
      </c>
      <c r="X100" s="32">
        <f t="shared" si="35"/>
        <v>2585.0724065753429</v>
      </c>
      <c r="Y100" s="32">
        <f t="shared" si="36"/>
        <v>2635.7601008219181</v>
      </c>
      <c r="Z100" s="94">
        <v>62100</v>
      </c>
      <c r="AA100" t="s">
        <v>25</v>
      </c>
      <c r="AI100" s="97">
        <v>80</v>
      </c>
      <c r="AJ100" s="111" t="s">
        <v>4494</v>
      </c>
      <c r="AK100" s="111">
        <v>-1750148</v>
      </c>
      <c r="AL100" s="97">
        <v>1</v>
      </c>
      <c r="AM100" s="97">
        <f t="shared" si="33"/>
        <v>1128</v>
      </c>
      <c r="AN100" s="115">
        <f t="shared" si="10"/>
        <v>-1974166944</v>
      </c>
      <c r="AO100" s="97"/>
    </row>
    <row r="101" spans="4:48">
      <c r="D101" s="2" t="s">
        <v>328</v>
      </c>
      <c r="E101" s="3">
        <f>E100/30</f>
        <v>112777.76666666666</v>
      </c>
      <c r="F101" s="407"/>
      <c r="G101" s="407"/>
      <c r="H101" s="407"/>
      <c r="I101" s="407"/>
      <c r="R101" s="167">
        <v>455942528</v>
      </c>
      <c r="S101" s="205" t="s">
        <v>5619</v>
      </c>
      <c r="T101" s="205">
        <f>T100-1</f>
        <v>602</v>
      </c>
      <c r="U101" s="205" t="s">
        <v>5620</v>
      </c>
      <c r="V101" s="205">
        <v>1631</v>
      </c>
      <c r="W101" s="97">
        <f t="shared" si="34"/>
        <v>2409.0004054794522</v>
      </c>
      <c r="X101" s="32">
        <f t="shared" si="35"/>
        <v>2457.1804135890411</v>
      </c>
      <c r="Y101" s="32">
        <f t="shared" si="36"/>
        <v>2505.3604216986305</v>
      </c>
      <c r="Z101">
        <v>278514</v>
      </c>
      <c r="AB101" t="s">
        <v>25</v>
      </c>
      <c r="AI101" s="97">
        <v>81</v>
      </c>
      <c r="AJ101" s="111" t="s">
        <v>4497</v>
      </c>
      <c r="AK101" s="111">
        <v>400000</v>
      </c>
      <c r="AL101" s="97">
        <v>0</v>
      </c>
      <c r="AM101" s="97">
        <f t="shared" si="33"/>
        <v>1127</v>
      </c>
      <c r="AN101" s="115">
        <f t="shared" si="10"/>
        <v>450800000</v>
      </c>
      <c r="AO101" s="97"/>
    </row>
    <row r="102" spans="4:48">
      <c r="F102" s="94"/>
      <c r="G102" s="94"/>
      <c r="H102" s="94"/>
      <c r="I102" s="94"/>
      <c r="R102" s="167">
        <v>834999909.33089697</v>
      </c>
      <c r="S102" s="205" t="s">
        <v>5622</v>
      </c>
      <c r="T102" s="205">
        <f>T101-1</f>
        <v>601</v>
      </c>
      <c r="U102" s="205" t="s">
        <v>5641</v>
      </c>
      <c r="V102" s="205">
        <v>1567.4</v>
      </c>
      <c r="W102" s="97">
        <f t="shared" si="34"/>
        <v>2313.8602936986304</v>
      </c>
      <c r="X102" s="32">
        <f t="shared" si="35"/>
        <v>2360.1374995726028</v>
      </c>
      <c r="Y102" s="32">
        <f t="shared" si="36"/>
        <v>2406.4147054465757</v>
      </c>
      <c r="Z102">
        <v>530747</v>
      </c>
      <c r="AI102" s="97">
        <v>82</v>
      </c>
      <c r="AJ102" s="111" t="s">
        <v>4497</v>
      </c>
      <c r="AK102" s="111">
        <v>-2105421</v>
      </c>
      <c r="AL102" s="97">
        <v>1</v>
      </c>
      <c r="AM102" s="97">
        <f t="shared" si="33"/>
        <v>1127</v>
      </c>
      <c r="AN102" s="115">
        <f t="shared" si="10"/>
        <v>-2372809467</v>
      </c>
      <c r="AO102" s="97"/>
      <c r="AP102" t="s">
        <v>25</v>
      </c>
    </row>
    <row r="103" spans="4:48">
      <c r="F103" s="94"/>
      <c r="G103" s="94"/>
      <c r="H103" s="94"/>
      <c r="I103" s="94"/>
      <c r="R103" s="167"/>
      <c r="S103" s="205" t="s">
        <v>5642</v>
      </c>
      <c r="T103" s="205">
        <f>T102-13</f>
        <v>588</v>
      </c>
      <c r="U103" s="205" t="s">
        <v>5643</v>
      </c>
      <c r="V103" s="205"/>
      <c r="W103" s="97">
        <f t="shared" si="34"/>
        <v>0</v>
      </c>
      <c r="X103" s="32">
        <f t="shared" si="35"/>
        <v>0</v>
      </c>
      <c r="Y103" s="32">
        <f t="shared" si="36"/>
        <v>0</v>
      </c>
      <c r="Z103" s="94">
        <v>83532</v>
      </c>
      <c r="AA103" s="94"/>
      <c r="AB103" s="94"/>
      <c r="AI103" s="97">
        <v>83</v>
      </c>
      <c r="AJ103" s="111" t="s">
        <v>4500</v>
      </c>
      <c r="AK103" s="111">
        <v>-5527618</v>
      </c>
      <c r="AL103" s="97">
        <v>0</v>
      </c>
      <c r="AM103" s="97">
        <f t="shared" si="33"/>
        <v>1126</v>
      </c>
      <c r="AN103" s="115">
        <f t="shared" si="10"/>
        <v>-6224097868</v>
      </c>
      <c r="AO103" s="97"/>
    </row>
    <row r="104" spans="4:48">
      <c r="F104" s="94"/>
      <c r="G104" s="94"/>
      <c r="H104" s="94"/>
      <c r="I104" s="94"/>
      <c r="R104" s="167" t="s">
        <v>25</v>
      </c>
      <c r="S104" s="205" t="s">
        <v>5644</v>
      </c>
      <c r="T104" s="205">
        <f>T103-1</f>
        <v>587</v>
      </c>
      <c r="U104" s="205" t="s">
        <v>5645</v>
      </c>
      <c r="V104" s="205"/>
      <c r="W104" s="97">
        <f t="shared" si="34"/>
        <v>0</v>
      </c>
      <c r="X104" s="32">
        <f t="shared" si="35"/>
        <v>0</v>
      </c>
      <c r="Y104" s="32">
        <f t="shared" si="36"/>
        <v>0</v>
      </c>
      <c r="Z104" s="94">
        <v>807014</v>
      </c>
      <c r="AA104" s="94"/>
      <c r="AB104" s="94"/>
      <c r="AI104" s="97">
        <v>84</v>
      </c>
      <c r="AJ104" s="111" t="s">
        <v>4500</v>
      </c>
      <c r="AK104" s="111">
        <v>3900000</v>
      </c>
      <c r="AL104" s="97">
        <v>3</v>
      </c>
      <c r="AM104" s="97">
        <f t="shared" si="33"/>
        <v>1126</v>
      </c>
      <c r="AN104" s="115">
        <f t="shared" si="10"/>
        <v>4391400000</v>
      </c>
      <c r="AO104" s="97"/>
    </row>
    <row r="105" spans="4:48">
      <c r="F105" s="94"/>
      <c r="G105" s="94"/>
      <c r="H105" s="94"/>
      <c r="I105" s="94"/>
      <c r="J105" s="94" t="s">
        <v>25</v>
      </c>
      <c r="K105" t="s">
        <v>25</v>
      </c>
      <c r="L105" s="94"/>
      <c r="M105" s="94"/>
      <c r="R105" s="167"/>
      <c r="S105" s="205" t="s">
        <v>5646</v>
      </c>
      <c r="T105" s="205">
        <f>T104-1</f>
        <v>586</v>
      </c>
      <c r="U105" s="205" t="s">
        <v>5694</v>
      </c>
      <c r="V105" s="205"/>
      <c r="W105" s="97">
        <f t="shared" si="34"/>
        <v>0</v>
      </c>
      <c r="X105" s="32">
        <f t="shared" si="35"/>
        <v>0</v>
      </c>
      <c r="Y105" s="32">
        <f t="shared" si="36"/>
        <v>0</v>
      </c>
      <c r="Z105" s="94">
        <v>399790</v>
      </c>
      <c r="AA105" s="94"/>
      <c r="AB105" s="94"/>
      <c r="AC105" s="94"/>
      <c r="AI105" s="97">
        <v>85</v>
      </c>
      <c r="AJ105" s="111" t="s">
        <v>4501</v>
      </c>
      <c r="AK105" s="111">
        <v>-3969754</v>
      </c>
      <c r="AL105" s="97">
        <v>1</v>
      </c>
      <c r="AM105" s="97">
        <f t="shared" si="33"/>
        <v>1123</v>
      </c>
      <c r="AN105" s="115">
        <f t="shared" si="10"/>
        <v>-4458033742</v>
      </c>
      <c r="AO105" s="97"/>
    </row>
    <row r="106" spans="4:48">
      <c r="J106" t="s">
        <v>25</v>
      </c>
      <c r="R106" s="167"/>
      <c r="S106" s="205" t="s">
        <v>5699</v>
      </c>
      <c r="T106" s="205">
        <f>T105-53</f>
        <v>533</v>
      </c>
      <c r="U106" s="205" t="s">
        <v>6723</v>
      </c>
      <c r="V106" s="205">
        <v>1500</v>
      </c>
      <c r="W106" s="97">
        <f t="shared" si="34"/>
        <v>2136.1150684931508</v>
      </c>
      <c r="X106" s="32">
        <f t="shared" si="35"/>
        <v>2178.8373698630139</v>
      </c>
      <c r="Y106" s="32">
        <f t="shared" si="36"/>
        <v>2221.559671232877</v>
      </c>
      <c r="Z106" s="94">
        <v>27349</v>
      </c>
      <c r="AA106" s="94"/>
      <c r="AB106" s="94"/>
      <c r="AC106" s="94"/>
      <c r="AI106" s="97">
        <v>86</v>
      </c>
      <c r="AJ106" s="111" t="s">
        <v>4511</v>
      </c>
      <c r="AK106" s="111">
        <v>-25574455</v>
      </c>
      <c r="AL106" s="97">
        <v>0</v>
      </c>
      <c r="AM106" s="97">
        <f t="shared" si="33"/>
        <v>1122</v>
      </c>
      <c r="AN106" s="115">
        <f t="shared" si="10"/>
        <v>-28694538510</v>
      </c>
      <c r="AO106" s="97"/>
      <c r="AQ106" t="s">
        <v>25</v>
      </c>
    </row>
    <row r="107" spans="4:48">
      <c r="G107" s="94" t="s">
        <v>25</v>
      </c>
      <c r="H107" s="94"/>
      <c r="I107" s="94"/>
      <c r="J107" s="94"/>
      <c r="R107" s="167"/>
      <c r="S107" s="205" t="s">
        <v>5752</v>
      </c>
      <c r="T107" s="205">
        <f>T106-71</f>
        <v>462</v>
      </c>
      <c r="U107" s="205" t="s">
        <v>5756</v>
      </c>
      <c r="V107" s="205">
        <v>1354.1</v>
      </c>
      <c r="W107" s="97">
        <f t="shared" si="34"/>
        <v>1854.5901994520548</v>
      </c>
      <c r="X107" s="32">
        <f t="shared" si="35"/>
        <v>1891.682003441096</v>
      </c>
      <c r="Y107" s="32">
        <f t="shared" si="36"/>
        <v>1928.7738074301371</v>
      </c>
      <c r="Z107" s="94"/>
      <c r="AA107" s="94">
        <v>22000</v>
      </c>
      <c r="AB107" s="94">
        <f>AA107*3</f>
        <v>66000</v>
      </c>
      <c r="AI107" s="97">
        <v>87</v>
      </c>
      <c r="AJ107" s="111" t="s">
        <v>4511</v>
      </c>
      <c r="AK107" s="111">
        <v>4000000</v>
      </c>
      <c r="AL107" s="97">
        <v>1</v>
      </c>
      <c r="AM107" s="97">
        <f t="shared" si="33"/>
        <v>1122</v>
      </c>
      <c r="AN107" s="115">
        <f t="shared" si="10"/>
        <v>4488000000</v>
      </c>
      <c r="AO107" s="97"/>
    </row>
    <row r="108" spans="4:48">
      <c r="F108" s="409"/>
      <c r="G108" s="94"/>
      <c r="H108" s="94"/>
      <c r="I108" s="94"/>
      <c r="J108" s="94"/>
      <c r="K108" s="166" t="s">
        <v>4479</v>
      </c>
      <c r="L108" s="166" t="s">
        <v>4480</v>
      </c>
      <c r="M108" s="166" t="s">
        <v>4392</v>
      </c>
      <c r="N108" s="54" t="s">
        <v>190</v>
      </c>
      <c r="R108" s="167"/>
      <c r="S108" s="205" t="s">
        <v>5757</v>
      </c>
      <c r="T108" s="205">
        <f>T107-8</f>
        <v>454</v>
      </c>
      <c r="U108" s="205" t="s">
        <v>5773</v>
      </c>
      <c r="V108" s="205">
        <v>1266</v>
      </c>
      <c r="W108" s="97">
        <f t="shared" si="34"/>
        <v>1726.1580493150686</v>
      </c>
      <c r="X108" s="32">
        <f t="shared" si="35"/>
        <v>1760.6812103013701</v>
      </c>
      <c r="Y108" s="32">
        <f t="shared" si="36"/>
        <v>1795.2043712876714</v>
      </c>
      <c r="Z108" s="94"/>
      <c r="AA108" s="94">
        <v>62174</v>
      </c>
      <c r="AB108" s="404">
        <f t="shared" ref="AB108:AB112" si="37">AA108*3</f>
        <v>186522</v>
      </c>
      <c r="AI108" s="97">
        <v>88</v>
      </c>
      <c r="AJ108" s="111" t="s">
        <v>977</v>
      </c>
      <c r="AK108" s="111">
        <v>-5000000</v>
      </c>
      <c r="AL108" s="97">
        <v>2</v>
      </c>
      <c r="AM108" s="97">
        <f t="shared" si="33"/>
        <v>1121</v>
      </c>
      <c r="AN108" s="115">
        <f t="shared" si="10"/>
        <v>-5605000000</v>
      </c>
      <c r="AO108" s="97"/>
    </row>
    <row r="109" spans="4:48">
      <c r="F109" s="409"/>
      <c r="G109" s="94"/>
      <c r="H109" s="94"/>
      <c r="I109" s="94"/>
      <c r="J109" s="94"/>
      <c r="K109" s="166" t="s">
        <v>4216</v>
      </c>
      <c r="L109" s="167">
        <v>1100000</v>
      </c>
      <c r="M109" s="167">
        <v>1637000</v>
      </c>
      <c r="N109" s="166">
        <f t="shared" ref="N109:N117" si="38">(M109-L109)*100/L109</f>
        <v>48.81818181818182</v>
      </c>
      <c r="R109" s="167"/>
      <c r="S109" s="205" t="s">
        <v>5774</v>
      </c>
      <c r="T109" s="205">
        <f>T108-13</f>
        <v>441</v>
      </c>
      <c r="U109" s="205" t="s">
        <v>6247</v>
      </c>
      <c r="V109" s="205">
        <v>1275</v>
      </c>
      <c r="W109" s="97">
        <f t="shared" si="34"/>
        <v>1725.7142465753427</v>
      </c>
      <c r="X109" s="32">
        <f t="shared" si="35"/>
        <v>1760.2285315068495</v>
      </c>
      <c r="Y109" s="32">
        <f t="shared" si="36"/>
        <v>1794.7428164383564</v>
      </c>
      <c r="Z109" s="94"/>
      <c r="AA109" s="94">
        <v>6826</v>
      </c>
      <c r="AB109" s="404">
        <f t="shared" si="37"/>
        <v>20478</v>
      </c>
      <c r="AE109" s="94"/>
      <c r="AF109"/>
      <c r="AG109"/>
      <c r="AI109" s="97">
        <v>89</v>
      </c>
      <c r="AJ109" s="111" t="s">
        <v>4515</v>
      </c>
      <c r="AK109" s="111">
        <v>10000000</v>
      </c>
      <c r="AL109" s="97">
        <v>4</v>
      </c>
      <c r="AM109" s="97">
        <f t="shared" si="33"/>
        <v>1119</v>
      </c>
      <c r="AN109" s="115">
        <f t="shared" si="10"/>
        <v>11190000000</v>
      </c>
      <c r="AO109" s="97"/>
    </row>
    <row r="110" spans="4:48">
      <c r="F110" s="409"/>
      <c r="G110" s="94"/>
      <c r="H110" s="94"/>
      <c r="I110" s="94"/>
      <c r="J110" s="94"/>
      <c r="K110" s="5" t="s">
        <v>4474</v>
      </c>
      <c r="L110" s="167">
        <v>1100000</v>
      </c>
      <c r="M110" s="167">
        <v>4748000</v>
      </c>
      <c r="N110" s="166">
        <f t="shared" si="38"/>
        <v>331.63636363636363</v>
      </c>
      <c r="R110" s="167"/>
      <c r="S110" s="205" t="s">
        <v>6248</v>
      </c>
      <c r="T110" s="205">
        <f>T109-117</f>
        <v>324</v>
      </c>
      <c r="U110" s="205" t="s">
        <v>6249</v>
      </c>
      <c r="V110" s="205">
        <v>1310</v>
      </c>
      <c r="W110" s="97">
        <f t="shared" si="34"/>
        <v>1655.5098082191782</v>
      </c>
      <c r="X110" s="32">
        <f t="shared" si="35"/>
        <v>1688.6200043835618</v>
      </c>
      <c r="Y110" s="32">
        <f t="shared" si="36"/>
        <v>1721.7302005479455</v>
      </c>
      <c r="Z110" s="94"/>
      <c r="AA110" s="94">
        <v>22240</v>
      </c>
      <c r="AB110" s="404">
        <f t="shared" si="37"/>
        <v>66720</v>
      </c>
      <c r="AD110" t="s">
        <v>25</v>
      </c>
      <c r="AI110" s="97">
        <v>90</v>
      </c>
      <c r="AJ110" s="111" t="s">
        <v>4517</v>
      </c>
      <c r="AK110" s="111">
        <v>-5241937</v>
      </c>
      <c r="AL110" s="97">
        <v>0</v>
      </c>
      <c r="AM110" s="97">
        <f t="shared" si="33"/>
        <v>1115</v>
      </c>
      <c r="AN110" s="115">
        <f t="shared" si="10"/>
        <v>-5844759755</v>
      </c>
      <c r="AO110" s="97"/>
    </row>
    <row r="111" spans="4:48">
      <c r="F111" s="409"/>
      <c r="G111" s="94"/>
      <c r="H111" s="94"/>
      <c r="I111" s="94"/>
      <c r="J111" s="94"/>
      <c r="K111" s="5" t="s">
        <v>4475</v>
      </c>
      <c r="L111" s="167">
        <v>1100000</v>
      </c>
      <c r="M111" s="167">
        <v>5137000</v>
      </c>
      <c r="N111" s="166">
        <f t="shared" si="38"/>
        <v>367</v>
      </c>
      <c r="P111" s="94"/>
      <c r="R111" s="167"/>
      <c r="S111" s="205" t="s">
        <v>6255</v>
      </c>
      <c r="T111" s="205">
        <f>T110-4</f>
        <v>320</v>
      </c>
      <c r="U111" s="205" t="s">
        <v>6386</v>
      </c>
      <c r="V111" s="205">
        <v>1388</v>
      </c>
      <c r="W111" s="97">
        <f t="shared" si="34"/>
        <v>1749.8230794520548</v>
      </c>
      <c r="X111" s="32">
        <f t="shared" si="35"/>
        <v>1784.8195410410958</v>
      </c>
      <c r="Y111" s="32">
        <f t="shared" si="36"/>
        <v>1819.8160026301371</v>
      </c>
      <c r="Z111" s="94"/>
      <c r="AA111" s="94">
        <v>356260</v>
      </c>
      <c r="AB111" s="404">
        <f t="shared" si="37"/>
        <v>1068780</v>
      </c>
      <c r="AI111" s="97">
        <v>91</v>
      </c>
      <c r="AJ111" s="111" t="s">
        <v>4517</v>
      </c>
      <c r="AK111" s="111">
        <v>21900000</v>
      </c>
      <c r="AL111" s="97">
        <v>2</v>
      </c>
      <c r="AM111" s="97">
        <f t="shared" si="33"/>
        <v>1115</v>
      </c>
      <c r="AN111" s="115">
        <f t="shared" si="10"/>
        <v>24418500000</v>
      </c>
      <c r="AO111" s="97"/>
      <c r="AQ111" t="s">
        <v>25</v>
      </c>
      <c r="AV111"/>
    </row>
    <row r="112" spans="4:48">
      <c r="F112" s="409"/>
      <c r="G112" s="94"/>
      <c r="H112" s="94"/>
      <c r="I112" s="94"/>
      <c r="J112" s="94"/>
      <c r="K112" s="19" t="s">
        <v>4354</v>
      </c>
      <c r="L112" s="167">
        <v>1100000</v>
      </c>
      <c r="M112" s="167">
        <v>4300000</v>
      </c>
      <c r="N112" s="166">
        <f t="shared" si="38"/>
        <v>290.90909090909093</v>
      </c>
      <c r="P112" s="94"/>
      <c r="R112" s="167"/>
      <c r="S112" s="205" t="s">
        <v>6392</v>
      </c>
      <c r="T112" s="205">
        <f>T111-39</f>
        <v>281</v>
      </c>
      <c r="U112" s="205" t="s">
        <v>6692</v>
      </c>
      <c r="V112" s="205">
        <v>1702</v>
      </c>
      <c r="W112" s="97">
        <f t="shared" si="34"/>
        <v>2094.7563178082196</v>
      </c>
      <c r="X112" s="32">
        <f t="shared" ref="X112:X116" si="39">W112*(1+$X$19/100)</f>
        <v>2136.651444164384</v>
      </c>
      <c r="Y112" s="32">
        <f t="shared" ref="Y112:Y116" si="40">W112*(1+$Y$19/100)</f>
        <v>2178.5465705205484</v>
      </c>
      <c r="Z112" s="324"/>
      <c r="AA112" s="324">
        <v>1001</v>
      </c>
      <c r="AB112" s="404">
        <f t="shared" si="37"/>
        <v>3003</v>
      </c>
      <c r="AI112" s="97">
        <v>92</v>
      </c>
      <c r="AJ112" s="111" t="s">
        <v>4524</v>
      </c>
      <c r="AK112" s="111">
        <v>-15000000</v>
      </c>
      <c r="AL112" s="97">
        <v>0</v>
      </c>
      <c r="AM112" s="97">
        <f t="shared" si="33"/>
        <v>1113</v>
      </c>
      <c r="AN112" s="115">
        <f t="shared" si="10"/>
        <v>-16695000000</v>
      </c>
      <c r="AO112" s="97"/>
      <c r="AP112" t="s">
        <v>25</v>
      </c>
    </row>
    <row r="113" spans="6:47">
      <c r="F113" s="409"/>
      <c r="G113" s="94"/>
      <c r="H113" s="94"/>
      <c r="I113" s="94"/>
      <c r="J113" s="94"/>
      <c r="K113" s="5" t="s">
        <v>4371</v>
      </c>
      <c r="L113" s="167">
        <v>1100000</v>
      </c>
      <c r="M113" s="167">
        <v>3191000</v>
      </c>
      <c r="N113" s="166">
        <f t="shared" si="38"/>
        <v>190.09090909090909</v>
      </c>
      <c r="P113" s="94"/>
      <c r="Q113" s="112"/>
      <c r="R113" s="167"/>
      <c r="S113" s="205" t="s">
        <v>6695</v>
      </c>
      <c r="T113" s="205">
        <f>T97-1086</f>
        <v>253</v>
      </c>
      <c r="U113" s="205" t="s">
        <v>6903</v>
      </c>
      <c r="V113" s="205">
        <v>518</v>
      </c>
      <c r="W113" s="97">
        <f t="shared" si="34"/>
        <v>626.40817534246582</v>
      </c>
      <c r="X113" s="32">
        <f t="shared" si="39"/>
        <v>638.93633884931512</v>
      </c>
      <c r="Y113" s="32">
        <f t="shared" si="40"/>
        <v>651.46450235616453</v>
      </c>
      <c r="Z113" s="355"/>
      <c r="AA113" s="355"/>
      <c r="AB113" s="404">
        <v>229715</v>
      </c>
      <c r="AI113" s="97">
        <v>93</v>
      </c>
      <c r="AJ113" s="111" t="s">
        <v>4524</v>
      </c>
      <c r="AK113" s="111">
        <v>3000000</v>
      </c>
      <c r="AL113" s="97">
        <v>1</v>
      </c>
      <c r="AM113" s="97">
        <f t="shared" si="33"/>
        <v>1113</v>
      </c>
      <c r="AN113" s="115">
        <f t="shared" si="10"/>
        <v>3339000000</v>
      </c>
      <c r="AO113" s="97"/>
    </row>
    <row r="114" spans="6:47">
      <c r="F114" s="409"/>
      <c r="G114" s="94"/>
      <c r="H114" s="94"/>
      <c r="I114" s="94"/>
      <c r="J114" s="94"/>
      <c r="K114" s="5" t="s">
        <v>4476</v>
      </c>
      <c r="L114" s="167">
        <v>1100000</v>
      </c>
      <c r="M114" s="167">
        <v>5623000</v>
      </c>
      <c r="N114" s="166">
        <f t="shared" si="38"/>
        <v>411.18181818181819</v>
      </c>
      <c r="P114" s="94"/>
      <c r="R114" s="167"/>
      <c r="S114" s="205" t="s">
        <v>6726</v>
      </c>
      <c r="T114" s="205">
        <f>T97-1113</f>
        <v>226</v>
      </c>
      <c r="U114" s="205" t="s">
        <v>6727</v>
      </c>
      <c r="V114" s="205">
        <v>1580</v>
      </c>
      <c r="W114" s="97">
        <f t="shared" si="34"/>
        <v>1877.940383561644</v>
      </c>
      <c r="X114" s="32">
        <f t="shared" si="39"/>
        <v>1915.4991912328769</v>
      </c>
      <c r="Y114" s="32">
        <f t="shared" si="40"/>
        <v>1953.0579989041098</v>
      </c>
      <c r="Z114" s="373">
        <v>45255</v>
      </c>
      <c r="AA114" s="373"/>
      <c r="AB114" s="404"/>
      <c r="AI114" s="97">
        <v>94</v>
      </c>
      <c r="AJ114" s="111" t="s">
        <v>4527</v>
      </c>
      <c r="AK114" s="111">
        <v>-2103736</v>
      </c>
      <c r="AL114" s="97">
        <v>0</v>
      </c>
      <c r="AM114" s="97">
        <f t="shared" si="33"/>
        <v>1112</v>
      </c>
      <c r="AN114" s="115">
        <f t="shared" si="10"/>
        <v>-2339354432</v>
      </c>
      <c r="AO114" s="97"/>
    </row>
    <row r="115" spans="6:47">
      <c r="F115" s="409"/>
      <c r="G115" s="94"/>
      <c r="H115" s="94"/>
      <c r="I115" s="94"/>
      <c r="J115" s="94"/>
      <c r="K115" s="19" t="s">
        <v>4358</v>
      </c>
      <c r="L115" s="167">
        <v>1100000</v>
      </c>
      <c r="M115" s="167">
        <v>7728000</v>
      </c>
      <c r="N115" s="166">
        <f t="shared" si="38"/>
        <v>602.5454545454545</v>
      </c>
      <c r="P115" t="s">
        <v>25</v>
      </c>
      <c r="R115" s="167"/>
      <c r="S115" s="205" t="s">
        <v>6728</v>
      </c>
      <c r="T115" s="205">
        <f>T97-1114</f>
        <v>225</v>
      </c>
      <c r="U115" s="205" t="s">
        <v>6729</v>
      </c>
      <c r="V115" s="205">
        <v>1560</v>
      </c>
      <c r="W115" s="97">
        <f t="shared" si="34"/>
        <v>1852.972273972603</v>
      </c>
      <c r="X115" s="32">
        <f t="shared" si="39"/>
        <v>1890.0317194520551</v>
      </c>
      <c r="Y115" s="32">
        <f t="shared" si="40"/>
        <v>1927.0911649315071</v>
      </c>
      <c r="Z115" s="373">
        <v>48918</v>
      </c>
      <c r="AA115" s="373"/>
      <c r="AB115" s="404"/>
      <c r="AI115" s="97">
        <v>95</v>
      </c>
      <c r="AJ115" s="111" t="s">
        <v>4527</v>
      </c>
      <c r="AK115" s="111">
        <v>220000</v>
      </c>
      <c r="AL115" s="97">
        <v>3</v>
      </c>
      <c r="AM115" s="97">
        <f t="shared" si="33"/>
        <v>1112</v>
      </c>
      <c r="AN115" s="115">
        <f t="shared" si="10"/>
        <v>244640000</v>
      </c>
      <c r="AO115" s="97"/>
      <c r="AS115" s="94"/>
      <c r="AT115" s="94"/>
      <c r="AU115"/>
    </row>
    <row r="116" spans="6:47">
      <c r="F116" s="409"/>
      <c r="G116" s="94"/>
      <c r="H116" s="94"/>
      <c r="I116" s="94"/>
      <c r="J116" s="94"/>
      <c r="K116" s="5" t="s">
        <v>4478</v>
      </c>
      <c r="L116" s="167">
        <v>1100000</v>
      </c>
      <c r="M116" s="167">
        <v>2904000</v>
      </c>
      <c r="N116" s="166">
        <f t="shared" si="38"/>
        <v>164</v>
      </c>
      <c r="P116" t="s">
        <v>25</v>
      </c>
      <c r="R116" s="167"/>
      <c r="S116" s="205" t="s">
        <v>6730</v>
      </c>
      <c r="T116" s="205">
        <f>T97-1117</f>
        <v>222</v>
      </c>
      <c r="U116" s="205" t="s">
        <v>6892</v>
      </c>
      <c r="V116" s="205">
        <v>1496</v>
      </c>
      <c r="W116" s="97">
        <f t="shared" si="34"/>
        <v>1773.5100493150687</v>
      </c>
      <c r="X116" s="32">
        <f t="shared" si="39"/>
        <v>1808.9802503013702</v>
      </c>
      <c r="Y116" s="32">
        <f t="shared" si="40"/>
        <v>1844.4504512876715</v>
      </c>
      <c r="Z116" s="374">
        <v>72827</v>
      </c>
      <c r="AA116" s="374"/>
      <c r="AB116" s="404"/>
      <c r="AI116" s="97">
        <v>96</v>
      </c>
      <c r="AJ116" s="111" t="s">
        <v>4536</v>
      </c>
      <c r="AK116" s="111">
        <v>4000000</v>
      </c>
      <c r="AL116" s="97">
        <v>1</v>
      </c>
      <c r="AM116" s="97">
        <f t="shared" si="33"/>
        <v>1109</v>
      </c>
      <c r="AN116" s="115">
        <f t="shared" si="10"/>
        <v>4436000000</v>
      </c>
      <c r="AO116" s="97"/>
    </row>
    <row r="117" spans="6:47">
      <c r="F117" s="409"/>
      <c r="G117" s="94"/>
      <c r="H117" s="94"/>
      <c r="I117" s="94"/>
      <c r="J117" s="94"/>
      <c r="K117" s="54" t="s">
        <v>1068</v>
      </c>
      <c r="L117" s="167">
        <v>1100000</v>
      </c>
      <c r="M117" s="167">
        <v>3400000</v>
      </c>
      <c r="N117" s="166">
        <f t="shared" si="38"/>
        <v>209.09090909090909</v>
      </c>
      <c r="O117" t="s">
        <v>25</v>
      </c>
      <c r="P117" t="s">
        <v>25</v>
      </c>
      <c r="Q117" s="112"/>
      <c r="R117" s="167"/>
      <c r="S117" s="205" t="s">
        <v>6893</v>
      </c>
      <c r="T117" s="205">
        <f>T97-1283</f>
        <v>56</v>
      </c>
      <c r="U117" s="205" t="s">
        <v>6958</v>
      </c>
      <c r="V117" s="205">
        <v>1322</v>
      </c>
      <c r="W117" s="97">
        <f t="shared" si="34"/>
        <v>1398.8860712328769</v>
      </c>
      <c r="X117" s="32">
        <f t="shared" ref="X117:X130" si="41">W117*(1+$X$19/100)</f>
        <v>1426.8637926575345</v>
      </c>
      <c r="Y117" s="32">
        <f t="shared" ref="Y117:Y130" si="42">W117*(1+$Y$19/100)</f>
        <v>1454.8415140821921</v>
      </c>
      <c r="Z117" s="436">
        <v>359786</v>
      </c>
      <c r="AA117" s="436"/>
      <c r="AB117" s="436"/>
      <c r="AI117" s="97">
        <v>97</v>
      </c>
      <c r="AJ117" s="111" t="s">
        <v>4540</v>
      </c>
      <c r="AK117" s="111">
        <v>-9000000</v>
      </c>
      <c r="AL117" s="97">
        <v>0</v>
      </c>
      <c r="AM117" s="97">
        <f t="shared" si="33"/>
        <v>1108</v>
      </c>
      <c r="AN117" s="115">
        <f t="shared" si="10"/>
        <v>-9972000000</v>
      </c>
      <c r="AO117" s="97"/>
      <c r="AQ117" t="s">
        <v>25</v>
      </c>
    </row>
    <row r="118" spans="6:47">
      <c r="F118" s="409"/>
      <c r="K118" s="223" t="s">
        <v>5343</v>
      </c>
      <c r="R118" s="167"/>
      <c r="S118" s="205" t="s">
        <v>6918</v>
      </c>
      <c r="T118" s="205">
        <f>T97-1296</f>
        <v>43</v>
      </c>
      <c r="U118" s="205" t="s">
        <v>6919</v>
      </c>
      <c r="V118" s="205">
        <v>531</v>
      </c>
      <c r="W118" s="97">
        <f t="shared" si="34"/>
        <v>556.58692602739734</v>
      </c>
      <c r="X118" s="32">
        <f t="shared" si="41"/>
        <v>567.71866454794531</v>
      </c>
      <c r="Y118" s="32">
        <f t="shared" si="42"/>
        <v>578.85040306849328</v>
      </c>
      <c r="Z118" s="445"/>
      <c r="AA118" s="445"/>
      <c r="AB118" s="445">
        <v>152444</v>
      </c>
      <c r="AI118" s="97">
        <v>98</v>
      </c>
      <c r="AJ118" s="111" t="s">
        <v>4540</v>
      </c>
      <c r="AK118" s="111">
        <v>13900000</v>
      </c>
      <c r="AL118" s="97">
        <v>2</v>
      </c>
      <c r="AM118" s="97">
        <f t="shared" si="33"/>
        <v>1108</v>
      </c>
      <c r="AN118" s="115">
        <f t="shared" si="10"/>
        <v>15401200000</v>
      </c>
      <c r="AO118" s="97"/>
    </row>
    <row r="119" spans="6:47">
      <c r="F119" s="409"/>
      <c r="K119" s="223" t="s">
        <v>4507</v>
      </c>
      <c r="P119" s="112"/>
      <c r="R119" s="167"/>
      <c r="S119" s="205" t="s">
        <v>6920</v>
      </c>
      <c r="T119" s="205">
        <f>T97-1297</f>
        <v>42</v>
      </c>
      <c r="U119" s="205" t="s">
        <v>6921</v>
      </c>
      <c r="V119" s="205">
        <v>508</v>
      </c>
      <c r="W119" s="97">
        <f t="shared" si="34"/>
        <v>532.08894246575358</v>
      </c>
      <c r="X119" s="32">
        <f t="shared" si="41"/>
        <v>542.73072131506865</v>
      </c>
      <c r="Y119" s="32">
        <f t="shared" si="42"/>
        <v>553.37250016438372</v>
      </c>
      <c r="Z119" s="463"/>
      <c r="AA119" s="463"/>
      <c r="AB119" s="463">
        <v>2680323</v>
      </c>
      <c r="AI119" s="97">
        <v>99</v>
      </c>
      <c r="AJ119" s="111" t="s">
        <v>4544</v>
      </c>
      <c r="AK119" s="111">
        <v>-8127577</v>
      </c>
      <c r="AL119" s="97">
        <v>1</v>
      </c>
      <c r="AM119" s="97">
        <f t="shared" si="33"/>
        <v>1106</v>
      </c>
      <c r="AN119" s="115">
        <f t="shared" si="10"/>
        <v>-8989100162</v>
      </c>
      <c r="AO119" s="97"/>
      <c r="AP119" t="s">
        <v>25</v>
      </c>
      <c r="AR119" t="s">
        <v>25</v>
      </c>
    </row>
    <row r="120" spans="6:47">
      <c r="K120" s="223" t="s">
        <v>4508</v>
      </c>
      <c r="P120" t="s">
        <v>25</v>
      </c>
      <c r="R120" s="167"/>
      <c r="S120" s="205" t="s">
        <v>6943</v>
      </c>
      <c r="T120" s="205">
        <f>T97-1310</f>
        <v>29</v>
      </c>
      <c r="U120" s="205" t="s">
        <v>6953</v>
      </c>
      <c r="V120" s="205">
        <v>523</v>
      </c>
      <c r="W120" s="97">
        <f t="shared" si="34"/>
        <v>542.5845589041096</v>
      </c>
      <c r="X120" s="32">
        <f t="shared" si="41"/>
        <v>553.4362500821918</v>
      </c>
      <c r="Y120" s="32">
        <f t="shared" si="42"/>
        <v>564.28794126027401</v>
      </c>
      <c r="Z120" s="469"/>
      <c r="AA120" s="469"/>
      <c r="AB120" s="469">
        <v>85807</v>
      </c>
      <c r="AI120" s="97">
        <v>100</v>
      </c>
      <c r="AJ120" s="111" t="s">
        <v>3673</v>
      </c>
      <c r="AK120" s="111">
        <v>15792549</v>
      </c>
      <c r="AL120" s="97">
        <v>3</v>
      </c>
      <c r="AM120" s="97">
        <f t="shared" si="33"/>
        <v>1105</v>
      </c>
      <c r="AN120" s="115">
        <f t="shared" si="10"/>
        <v>17450766645</v>
      </c>
      <c r="AO120" s="97"/>
      <c r="AP120" t="s">
        <v>25</v>
      </c>
      <c r="AQ120" t="s">
        <v>25</v>
      </c>
    </row>
    <row r="121" spans="6:47">
      <c r="R121" s="167"/>
      <c r="S121" s="205" t="s">
        <v>6956</v>
      </c>
      <c r="T121" s="205">
        <f>T97-1327</f>
        <v>12</v>
      </c>
      <c r="U121" s="205" t="s">
        <v>6957</v>
      </c>
      <c r="V121" s="205">
        <v>543</v>
      </c>
      <c r="W121" s="97">
        <f t="shared" si="34"/>
        <v>556.25217534246588</v>
      </c>
      <c r="X121" s="32">
        <f t="shared" si="41"/>
        <v>567.37721884931523</v>
      </c>
      <c r="Y121" s="32">
        <f t="shared" si="42"/>
        <v>578.50226235616458</v>
      </c>
      <c r="Z121" s="476"/>
      <c r="AA121" s="476"/>
      <c r="AB121" s="476">
        <v>376143</v>
      </c>
      <c r="AI121" s="97">
        <v>101</v>
      </c>
      <c r="AJ121" s="111" t="s">
        <v>4548</v>
      </c>
      <c r="AK121" s="111">
        <v>8800000</v>
      </c>
      <c r="AL121" s="97">
        <v>0</v>
      </c>
      <c r="AM121" s="97">
        <f t="shared" ref="AM121:AM126" si="43">AM122+AL121</f>
        <v>1102</v>
      </c>
      <c r="AN121" s="115">
        <f t="shared" ref="AN121:AN144" si="44">AK121*AM121</f>
        <v>9697600000</v>
      </c>
      <c r="AO121" s="97"/>
      <c r="AQ121" t="s">
        <v>25</v>
      </c>
    </row>
    <row r="122" spans="6:47" ht="17.25" customHeight="1">
      <c r="R122" s="167"/>
      <c r="S122" s="205" t="s">
        <v>6959</v>
      </c>
      <c r="T122" s="205">
        <f>T97-1331</f>
        <v>8</v>
      </c>
      <c r="U122" s="205" t="s">
        <v>6960</v>
      </c>
      <c r="V122" s="205">
        <v>1518</v>
      </c>
      <c r="W122" s="97">
        <f t="shared" si="34"/>
        <v>1550.3895452054796</v>
      </c>
      <c r="X122" s="32">
        <f t="shared" si="41"/>
        <v>1581.3973361095893</v>
      </c>
      <c r="Y122" s="32">
        <f t="shared" si="42"/>
        <v>1612.4051270136988</v>
      </c>
      <c r="Z122" s="479">
        <v>1673</v>
      </c>
      <c r="AA122" s="479"/>
      <c r="AB122" s="479"/>
      <c r="AI122" s="119">
        <v>102</v>
      </c>
      <c r="AJ122" s="77" t="s">
        <v>4548</v>
      </c>
      <c r="AK122" s="77">
        <v>13071612</v>
      </c>
      <c r="AL122" s="119">
        <v>1</v>
      </c>
      <c r="AM122" s="119">
        <f t="shared" si="43"/>
        <v>1102</v>
      </c>
      <c r="AN122" s="77">
        <f t="shared" si="44"/>
        <v>14404916424</v>
      </c>
      <c r="AO122" s="200" t="s">
        <v>4549</v>
      </c>
    </row>
    <row r="123" spans="6:47">
      <c r="P123" s="112"/>
      <c r="R123" s="167"/>
      <c r="S123" s="205" t="s">
        <v>6963</v>
      </c>
      <c r="T123" s="205">
        <f>T97-1332</f>
        <v>7</v>
      </c>
      <c r="U123" s="205" t="s">
        <v>6965</v>
      </c>
      <c r="V123" s="205">
        <v>1526</v>
      </c>
      <c r="W123" s="97">
        <f t="shared" si="34"/>
        <v>1557.3896109589043</v>
      </c>
      <c r="X123" s="32">
        <f t="shared" si="41"/>
        <v>1588.5374031780825</v>
      </c>
      <c r="Y123" s="32">
        <f t="shared" si="42"/>
        <v>1619.6851953972605</v>
      </c>
      <c r="Z123" s="94">
        <v>37049</v>
      </c>
      <c r="AA123" s="94" t="s">
        <v>25</v>
      </c>
      <c r="AB123" s="319"/>
      <c r="AI123" s="87">
        <v>103</v>
      </c>
      <c r="AJ123" s="88" t="s">
        <v>4552</v>
      </c>
      <c r="AK123" s="88">
        <v>16727037</v>
      </c>
      <c r="AL123" s="87">
        <v>0</v>
      </c>
      <c r="AM123" s="87">
        <f t="shared" si="43"/>
        <v>1101</v>
      </c>
      <c r="AN123" s="88">
        <f t="shared" si="44"/>
        <v>18416467737</v>
      </c>
      <c r="AO123" s="87" t="s">
        <v>4559</v>
      </c>
    </row>
    <row r="124" spans="6:47">
      <c r="F124" s="94"/>
      <c r="G124" s="32" t="s">
        <v>4216</v>
      </c>
      <c r="H124" s="32"/>
      <c r="I124" s="32" t="s">
        <v>4358</v>
      </c>
      <c r="K124" s="94"/>
      <c r="L124" s="94"/>
      <c r="M124" s="94"/>
      <c r="R124" s="167"/>
      <c r="S124" s="205" t="s">
        <v>6975</v>
      </c>
      <c r="T124" s="205">
        <f>T97-1337</f>
        <v>2</v>
      </c>
      <c r="U124" s="205" t="s">
        <v>6982</v>
      </c>
      <c r="V124" s="205">
        <v>1478</v>
      </c>
      <c r="W124" s="97">
        <f t="shared" si="34"/>
        <v>1502.7332164383563</v>
      </c>
      <c r="X124" s="32">
        <f t="shared" si="41"/>
        <v>1532.7878807671234</v>
      </c>
      <c r="Y124" s="32">
        <f t="shared" si="42"/>
        <v>1562.8425450958905</v>
      </c>
      <c r="Z124" s="481">
        <v>68650</v>
      </c>
      <c r="AA124" s="481"/>
      <c r="AB124" s="481"/>
      <c r="AI124" s="97">
        <v>104</v>
      </c>
      <c r="AJ124" s="111" t="s">
        <v>4552</v>
      </c>
      <c r="AK124" s="111">
        <v>12000000</v>
      </c>
      <c r="AL124" s="97">
        <v>1</v>
      </c>
      <c r="AM124" s="97">
        <f t="shared" si="43"/>
        <v>1101</v>
      </c>
      <c r="AN124" s="115">
        <f t="shared" si="44"/>
        <v>13212000000</v>
      </c>
      <c r="AO124" s="97" t="s">
        <v>4560</v>
      </c>
    </row>
    <row r="125" spans="6:47">
      <c r="F125" s="94"/>
      <c r="G125" s="32">
        <f>O33+O40+O51</f>
        <v>6592514</v>
      </c>
      <c r="H125" s="32" t="s">
        <v>5429</v>
      </c>
      <c r="I125" s="32">
        <f>O55</f>
        <v>0</v>
      </c>
      <c r="J125" s="112"/>
      <c r="K125" s="94"/>
      <c r="L125" s="94"/>
      <c r="M125" s="94"/>
      <c r="R125" s="167"/>
      <c r="S125" s="205" t="s">
        <v>6978</v>
      </c>
      <c r="T125" s="205">
        <f>T97-1338</f>
        <v>1</v>
      </c>
      <c r="U125" s="205" t="s">
        <v>6979</v>
      </c>
      <c r="V125" s="205">
        <v>573</v>
      </c>
      <c r="W125" s="97">
        <f t="shared" si="34"/>
        <v>582.14916164383567</v>
      </c>
      <c r="X125" s="32">
        <f t="shared" si="41"/>
        <v>593.79214487671243</v>
      </c>
      <c r="Y125" s="32">
        <f t="shared" si="42"/>
        <v>605.43512810958907</v>
      </c>
      <c r="Z125" s="483"/>
      <c r="AA125" s="483"/>
      <c r="AB125" s="483">
        <v>121111</v>
      </c>
      <c r="AC125" s="94"/>
      <c r="AI125" s="87">
        <v>105</v>
      </c>
      <c r="AJ125" s="88" t="s">
        <v>4490</v>
      </c>
      <c r="AK125" s="88">
        <v>88697667</v>
      </c>
      <c r="AL125" s="87">
        <v>1</v>
      </c>
      <c r="AM125" s="87">
        <f t="shared" si="43"/>
        <v>1100</v>
      </c>
      <c r="AN125" s="88">
        <f t="shared" si="44"/>
        <v>97567433700</v>
      </c>
      <c r="AO125" s="87" t="s">
        <v>4561</v>
      </c>
      <c r="AQ125" t="s">
        <v>25</v>
      </c>
    </row>
    <row r="126" spans="6:47">
      <c r="F126" s="94"/>
      <c r="G126" s="32">
        <f>(N34+N36+N41+N54+N55+N35+N56+N52)/P51</f>
        <v>2016734.1346023113</v>
      </c>
      <c r="H126" s="274" t="s">
        <v>5430</v>
      </c>
      <c r="I126" s="32">
        <f>(N51+N54+N40+N36+N33+N34+N35+N41+N56+N52)/P55</f>
        <v>651283.3122139367</v>
      </c>
      <c r="J126" s="112"/>
      <c r="K126" s="94"/>
      <c r="L126" s="94" t="s">
        <v>25</v>
      </c>
      <c r="M126" s="94"/>
      <c r="R126" s="167"/>
      <c r="S126" s="205" t="s">
        <v>6980</v>
      </c>
      <c r="T126" s="205">
        <f>T97-1339</f>
        <v>0</v>
      </c>
      <c r="U126" s="205" t="s">
        <v>6981</v>
      </c>
      <c r="V126" s="205">
        <v>572</v>
      </c>
      <c r="W126" s="97">
        <f t="shared" si="34"/>
        <v>580.69440000000009</v>
      </c>
      <c r="X126" s="32">
        <f t="shared" si="41"/>
        <v>592.30828800000006</v>
      </c>
      <c r="Y126" s="32">
        <f t="shared" si="42"/>
        <v>603.92217600000015</v>
      </c>
      <c r="Z126" s="483"/>
      <c r="AA126" s="483"/>
      <c r="AB126" s="483">
        <v>26075</v>
      </c>
      <c r="AC126" s="94" t="s">
        <v>25</v>
      </c>
      <c r="AI126" s="97">
        <v>106</v>
      </c>
      <c r="AJ126" s="111" t="s">
        <v>4493</v>
      </c>
      <c r="AK126" s="111">
        <v>101000</v>
      </c>
      <c r="AL126" s="97">
        <v>0</v>
      </c>
      <c r="AM126" s="97">
        <f t="shared" si="43"/>
        <v>1099</v>
      </c>
      <c r="AN126" s="115">
        <f t="shared" si="44"/>
        <v>110999000</v>
      </c>
      <c r="AO126" s="97"/>
      <c r="AR126" t="s">
        <v>25</v>
      </c>
    </row>
    <row r="127" spans="6:47">
      <c r="F127" s="94"/>
      <c r="G127" s="32">
        <f>G125+G126</f>
        <v>8609248.134602312</v>
      </c>
      <c r="H127" s="32" t="s">
        <v>5431</v>
      </c>
      <c r="I127" s="32">
        <f>I125+I126</f>
        <v>651283.3122139367</v>
      </c>
      <c r="J127" s="112"/>
      <c r="K127" s="94"/>
      <c r="L127" s="94"/>
      <c r="N127" s="94"/>
      <c r="R127" s="167"/>
      <c r="S127" s="205" t="s">
        <v>6983</v>
      </c>
      <c r="T127" s="205">
        <f>T97-1340</f>
        <v>-1</v>
      </c>
      <c r="U127" s="205" t="s">
        <v>6984</v>
      </c>
      <c r="V127" s="205">
        <v>553</v>
      </c>
      <c r="W127" s="97">
        <f t="shared" si="34"/>
        <v>560.98138082191792</v>
      </c>
      <c r="X127" s="32">
        <f t="shared" si="41"/>
        <v>572.20100843835633</v>
      </c>
      <c r="Y127" s="32">
        <f t="shared" si="42"/>
        <v>583.42063605479461</v>
      </c>
      <c r="Z127" s="483"/>
      <c r="AA127" s="483"/>
      <c r="AB127" s="483">
        <v>4982</v>
      </c>
      <c r="AC127" s="94"/>
      <c r="AD127" t="s">
        <v>25</v>
      </c>
      <c r="AI127" s="147">
        <v>107</v>
      </c>
      <c r="AJ127" s="186" t="s">
        <v>4558</v>
      </c>
      <c r="AK127" s="186">
        <v>-48200</v>
      </c>
      <c r="AL127" s="147">
        <v>0</v>
      </c>
      <c r="AM127" s="147">
        <f t="shared" ref="AM127:AM177" si="45">AM128+AL127</f>
        <v>1099</v>
      </c>
      <c r="AN127" s="186">
        <f t="shared" si="44"/>
        <v>-52971800</v>
      </c>
      <c r="AO127" s="147" t="s">
        <v>4564</v>
      </c>
    </row>
    <row r="128" spans="6:47">
      <c r="F128" s="94"/>
      <c r="G128" s="32">
        <f>(X141+X142)/P51</f>
        <v>349067.26750138251</v>
      </c>
      <c r="H128" s="32" t="s">
        <v>5411</v>
      </c>
      <c r="I128" s="32">
        <f>(X141+X142)/P55</f>
        <v>26406.682977348093</v>
      </c>
      <c r="J128" s="112"/>
      <c r="K128" s="94"/>
      <c r="L128" s="94"/>
      <c r="M128" s="94"/>
      <c r="N128" s="94"/>
      <c r="R128" s="167"/>
      <c r="S128" s="205"/>
      <c r="T128" s="205"/>
      <c r="U128" s="205"/>
      <c r="V128" s="205"/>
      <c r="W128" s="97"/>
      <c r="X128" s="32"/>
      <c r="Y128" s="32"/>
      <c r="Z128" s="481"/>
      <c r="AA128" s="481"/>
      <c r="AB128" s="481"/>
      <c r="AC128" t="s">
        <v>25</v>
      </c>
      <c r="AI128" s="87">
        <v>108</v>
      </c>
      <c r="AJ128" s="88" t="s">
        <v>4558</v>
      </c>
      <c r="AK128" s="88">
        <v>39327293</v>
      </c>
      <c r="AL128" s="87">
        <v>4</v>
      </c>
      <c r="AM128" s="147">
        <f t="shared" si="45"/>
        <v>1099</v>
      </c>
      <c r="AN128" s="186">
        <f t="shared" si="44"/>
        <v>43220695007</v>
      </c>
      <c r="AO128" s="87" t="s">
        <v>4565</v>
      </c>
    </row>
    <row r="129" spans="6:44">
      <c r="F129" s="94"/>
      <c r="G129" s="32">
        <f>X139/P51</f>
        <v>3038409.8636984983</v>
      </c>
      <c r="H129" s="32" t="s">
        <v>480</v>
      </c>
      <c r="I129" s="32">
        <f>X139/P55</f>
        <v>229853.47953203862</v>
      </c>
      <c r="J129" s="112"/>
      <c r="K129" s="94"/>
      <c r="L129" s="94"/>
      <c r="N129" s="94"/>
      <c r="R129" s="167"/>
      <c r="S129" s="205"/>
      <c r="T129" s="205"/>
      <c r="U129" s="205"/>
      <c r="V129" s="205"/>
      <c r="W129" s="97"/>
      <c r="X129" s="32"/>
      <c r="Y129" s="32"/>
      <c r="Z129" s="481"/>
      <c r="AA129" s="481"/>
      <c r="AB129" s="481"/>
      <c r="AI129" s="87">
        <v>109</v>
      </c>
      <c r="AJ129" s="88" t="s">
        <v>4579</v>
      </c>
      <c r="AK129" s="88">
        <v>8749050</v>
      </c>
      <c r="AL129" s="87">
        <v>1</v>
      </c>
      <c r="AM129" s="87">
        <f t="shared" si="45"/>
        <v>1095</v>
      </c>
      <c r="AN129" s="88">
        <f t="shared" si="44"/>
        <v>9580209750</v>
      </c>
      <c r="AO129" s="87" t="s">
        <v>4580</v>
      </c>
    </row>
    <row r="130" spans="6:44">
      <c r="F130" s="94"/>
      <c r="G130" s="32">
        <f>G127-G128-G129</f>
        <v>5221771.0034024315</v>
      </c>
      <c r="H130" s="32" t="s">
        <v>5</v>
      </c>
      <c r="I130" s="32">
        <f>I127-I128-I129</f>
        <v>395023.14970454999</v>
      </c>
      <c r="J130" s="112"/>
      <c r="K130" s="94"/>
      <c r="L130" s="94"/>
      <c r="M130" t="s">
        <v>25</v>
      </c>
      <c r="N130" s="94"/>
      <c r="R130" s="167"/>
      <c r="S130" s="166"/>
      <c r="T130" s="166"/>
      <c r="U130" s="166" t="s">
        <v>25</v>
      </c>
      <c r="V130" s="166"/>
      <c r="W130" s="97">
        <f>V130*(1+$S$93+$R$15*T130/36500)</f>
        <v>0</v>
      </c>
      <c r="X130" s="32">
        <f t="shared" si="41"/>
        <v>0</v>
      </c>
      <c r="Y130" s="32">
        <f t="shared" si="42"/>
        <v>0</v>
      </c>
      <c r="Z130" t="s">
        <v>25</v>
      </c>
      <c r="AA130" t="s">
        <v>25</v>
      </c>
      <c r="AB130" s="94" t="s">
        <v>25</v>
      </c>
      <c r="AI130" s="97">
        <v>110</v>
      </c>
      <c r="AJ130" s="111" t="s">
        <v>4581</v>
      </c>
      <c r="AK130" s="111">
        <v>60000</v>
      </c>
      <c r="AL130" s="97">
        <v>1</v>
      </c>
      <c r="AM130" s="97">
        <f t="shared" si="45"/>
        <v>1094</v>
      </c>
      <c r="AN130" s="115">
        <f t="shared" si="44"/>
        <v>65640000</v>
      </c>
      <c r="AO130" s="97" t="s">
        <v>4582</v>
      </c>
    </row>
    <row r="131" spans="6:44">
      <c r="N131" s="94"/>
      <c r="R131" s="111">
        <f>SUM(N55:N59)-SUM(R97:R130)</f>
        <v>-1877717018.63133</v>
      </c>
      <c r="S131" s="110"/>
      <c r="T131" s="110"/>
      <c r="U131" s="110"/>
      <c r="V131" s="166"/>
      <c r="W131" s="97" t="s">
        <v>25</v>
      </c>
      <c r="X131" s="32"/>
      <c r="Y131" s="32"/>
      <c r="Z131" t="s">
        <v>25</v>
      </c>
      <c r="AA131" t="s">
        <v>25</v>
      </c>
      <c r="AB131" s="94" t="s">
        <v>25</v>
      </c>
      <c r="AI131" s="20">
        <v>111</v>
      </c>
      <c r="AJ131" s="115" t="s">
        <v>4590</v>
      </c>
      <c r="AK131" s="115">
        <v>4750000</v>
      </c>
      <c r="AL131" s="20">
        <v>0</v>
      </c>
      <c r="AM131" s="97">
        <f t="shared" si="45"/>
        <v>1093</v>
      </c>
      <c r="AN131" s="115">
        <f t="shared" si="44"/>
        <v>5191750000</v>
      </c>
      <c r="AO131" s="20"/>
      <c r="AR131" t="s">
        <v>25</v>
      </c>
    </row>
    <row r="132" spans="6:44">
      <c r="N132" s="94"/>
      <c r="R132" s="26"/>
      <c r="S132" s="179"/>
      <c r="T132" s="179"/>
      <c r="U132" t="s">
        <v>25</v>
      </c>
      <c r="V132" s="94" t="s">
        <v>25</v>
      </c>
      <c r="W132" s="94" t="s">
        <v>25</v>
      </c>
      <c r="X132" s="94" t="s">
        <v>25</v>
      </c>
      <c r="Z132" t="s">
        <v>25</v>
      </c>
      <c r="AA132" t="s">
        <v>25</v>
      </c>
      <c r="AB132" s="94"/>
      <c r="AD132" t="s">
        <v>25</v>
      </c>
      <c r="AI132" s="87">
        <v>112</v>
      </c>
      <c r="AJ132" s="88" t="s">
        <v>4590</v>
      </c>
      <c r="AK132" s="88">
        <v>13101160</v>
      </c>
      <c r="AL132" s="87">
        <v>1</v>
      </c>
      <c r="AM132" s="87">
        <f t="shared" si="45"/>
        <v>1093</v>
      </c>
      <c r="AN132" s="88">
        <f t="shared" si="44"/>
        <v>14319567880</v>
      </c>
      <c r="AO132" s="87" t="s">
        <v>4593</v>
      </c>
    </row>
    <row r="133" spans="6:44">
      <c r="K133" s="94"/>
      <c r="L133" s="94"/>
      <c r="S133" s="32" t="s">
        <v>4510</v>
      </c>
      <c r="T133" s="32" t="s">
        <v>933</v>
      </c>
      <c r="U133" t="s">
        <v>25</v>
      </c>
      <c r="V133" s="94" t="s">
        <v>25</v>
      </c>
      <c r="W133" s="94" t="s">
        <v>25</v>
      </c>
      <c r="X133" s="94" t="s">
        <v>25</v>
      </c>
      <c r="Y133" s="120" t="s">
        <v>25</v>
      </c>
      <c r="Z133" t="s">
        <v>25</v>
      </c>
      <c r="AA133" t="s">
        <v>25</v>
      </c>
      <c r="AB133" s="94" t="s">
        <v>25</v>
      </c>
      <c r="AI133" s="20">
        <v>113</v>
      </c>
      <c r="AJ133" s="115" t="s">
        <v>4592</v>
      </c>
      <c r="AK133" s="115">
        <v>-980000</v>
      </c>
      <c r="AL133" s="20">
        <v>0</v>
      </c>
      <c r="AM133" s="97">
        <f t="shared" si="45"/>
        <v>1092</v>
      </c>
      <c r="AN133" s="115">
        <f t="shared" si="44"/>
        <v>-1070160000</v>
      </c>
      <c r="AO133" s="20"/>
    </row>
    <row r="134" spans="6:44">
      <c r="S134" s="32">
        <v>33288</v>
      </c>
      <c r="T134" s="167">
        <v>152128600.70081395</v>
      </c>
      <c r="U134" t="s">
        <v>25</v>
      </c>
      <c r="V134" s="94" t="s">
        <v>25</v>
      </c>
      <c r="W134" s="120" t="s">
        <v>25</v>
      </c>
      <c r="X134" s="94" t="s">
        <v>25</v>
      </c>
      <c r="Y134" t="s">
        <v>25</v>
      </c>
      <c r="Z134" t="s">
        <v>25</v>
      </c>
      <c r="AA134" t="s">
        <v>25</v>
      </c>
      <c r="AB134" t="s">
        <v>25</v>
      </c>
      <c r="AC134" t="s">
        <v>25</v>
      </c>
      <c r="AI134" s="87">
        <v>114</v>
      </c>
      <c r="AJ134" s="88" t="s">
        <v>4592</v>
      </c>
      <c r="AK134" s="88">
        <v>13301790</v>
      </c>
      <c r="AL134" s="87">
        <v>0</v>
      </c>
      <c r="AM134" s="87">
        <f t="shared" si="45"/>
        <v>1092</v>
      </c>
      <c r="AN134" s="88">
        <f t="shared" si="44"/>
        <v>14525554680</v>
      </c>
      <c r="AO134" s="87" t="s">
        <v>4593</v>
      </c>
      <c r="AR134" t="s">
        <v>25</v>
      </c>
    </row>
    <row r="135" spans="6:44">
      <c r="G135" s="32" t="s">
        <v>180</v>
      </c>
      <c r="H135" s="32" t="s">
        <v>5432</v>
      </c>
      <c r="I135" s="205" t="s">
        <v>5433</v>
      </c>
      <c r="J135" s="205" t="s">
        <v>5434</v>
      </c>
      <c r="K135" s="32" t="s">
        <v>5435</v>
      </c>
      <c r="L135" s="97" t="s">
        <v>5449</v>
      </c>
      <c r="M135" s="97" t="s">
        <v>5450</v>
      </c>
      <c r="R135" t="s">
        <v>25</v>
      </c>
      <c r="S135" s="32">
        <v>9243</v>
      </c>
      <c r="T135" s="1">
        <f>T134*S135/S134</f>
        <v>42241187.7036056</v>
      </c>
      <c r="U135" s="112" t="s">
        <v>25</v>
      </c>
      <c r="V135" s="94" t="s">
        <v>25</v>
      </c>
      <c r="W135" s="120" t="s">
        <v>25</v>
      </c>
      <c r="X135" s="94" t="s">
        <v>25</v>
      </c>
      <c r="Y135" t="s">
        <v>25</v>
      </c>
      <c r="Z135" t="s">
        <v>25</v>
      </c>
      <c r="AA135" t="s">
        <v>25</v>
      </c>
      <c r="AB135" t="s">
        <v>25</v>
      </c>
      <c r="AC135" t="s">
        <v>25</v>
      </c>
      <c r="AD135" t="s">
        <v>25</v>
      </c>
      <c r="AI135" s="20">
        <v>115</v>
      </c>
      <c r="AJ135" s="115" t="s">
        <v>4592</v>
      </c>
      <c r="AK135" s="115">
        <v>404000</v>
      </c>
      <c r="AL135" s="20">
        <v>5</v>
      </c>
      <c r="AM135" s="97">
        <f t="shared" si="45"/>
        <v>1092</v>
      </c>
      <c r="AN135" s="115">
        <f t="shared" si="44"/>
        <v>441168000</v>
      </c>
      <c r="AO135" s="20" t="s">
        <v>4599</v>
      </c>
    </row>
    <row r="136" spans="6:44">
      <c r="G136" s="32" t="s">
        <v>5424</v>
      </c>
      <c r="H136" s="32">
        <v>3256760</v>
      </c>
      <c r="I136" s="205">
        <v>245992</v>
      </c>
      <c r="J136" s="205">
        <v>2544443</v>
      </c>
      <c r="K136" s="32">
        <v>192693</v>
      </c>
      <c r="L136" s="97">
        <f t="shared" ref="L136:L145" si="46">H136+J136</f>
        <v>5801203</v>
      </c>
      <c r="M136" s="97">
        <f t="shared" ref="M136:M145" si="47">I136+K136</f>
        <v>438685</v>
      </c>
      <c r="P136" t="s">
        <v>25</v>
      </c>
      <c r="S136" s="32">
        <f>S134-S135</f>
        <v>24045</v>
      </c>
      <c r="T136" s="1">
        <f>S136*T134/S134</f>
        <v>109887412.99720834</v>
      </c>
      <c r="U136" t="s">
        <v>25</v>
      </c>
      <c r="V136" s="120" t="s">
        <v>25</v>
      </c>
      <c r="W136" s="94"/>
      <c r="X136" s="120" t="s">
        <v>25</v>
      </c>
      <c r="Y136" t="s">
        <v>25</v>
      </c>
      <c r="Z136">
        <v>1072496175</v>
      </c>
      <c r="AA136">
        <v>365000000</v>
      </c>
      <c r="AB136" t="s">
        <v>25</v>
      </c>
      <c r="AI136" s="87">
        <v>116</v>
      </c>
      <c r="AJ136" s="88" t="s">
        <v>4605</v>
      </c>
      <c r="AK136" s="88">
        <v>4291628</v>
      </c>
      <c r="AL136" s="87">
        <v>2</v>
      </c>
      <c r="AM136" s="87">
        <f t="shared" si="45"/>
        <v>1087</v>
      </c>
      <c r="AN136" s="88">
        <f t="shared" si="44"/>
        <v>4664999636</v>
      </c>
      <c r="AO136" s="87" t="s">
        <v>4606</v>
      </c>
    </row>
    <row r="137" spans="6:44">
      <c r="G137" s="32" t="s">
        <v>5436</v>
      </c>
      <c r="H137" s="32">
        <v>3245022</v>
      </c>
      <c r="I137" s="205">
        <v>249261</v>
      </c>
      <c r="J137" s="205">
        <v>2532877</v>
      </c>
      <c r="K137" s="32">
        <v>195062</v>
      </c>
      <c r="L137" s="97">
        <f t="shared" si="46"/>
        <v>5777899</v>
      </c>
      <c r="M137" s="97">
        <f t="shared" si="47"/>
        <v>444323</v>
      </c>
      <c r="U137" t="s">
        <v>25</v>
      </c>
      <c r="W137" s="94"/>
      <c r="X137"/>
      <c r="Y137" t="s">
        <v>25</v>
      </c>
      <c r="Z137" t="s">
        <v>25</v>
      </c>
      <c r="AA137" t="s">
        <v>25</v>
      </c>
      <c r="AB137" t="s">
        <v>25</v>
      </c>
      <c r="AD137" t="s">
        <v>25</v>
      </c>
      <c r="AI137" s="20">
        <v>117</v>
      </c>
      <c r="AJ137" s="115" t="s">
        <v>4608</v>
      </c>
      <c r="AK137" s="115">
        <v>1000</v>
      </c>
      <c r="AL137" s="20">
        <v>5</v>
      </c>
      <c r="AM137" s="20">
        <f t="shared" si="45"/>
        <v>1085</v>
      </c>
      <c r="AN137" s="115">
        <f t="shared" si="44"/>
        <v>1085000</v>
      </c>
      <c r="AO137" s="20"/>
    </row>
    <row r="138" spans="6:44">
      <c r="G138" s="32" t="s">
        <v>5437</v>
      </c>
      <c r="H138" s="32"/>
      <c r="I138" s="205"/>
      <c r="J138" s="205"/>
      <c r="K138" s="32"/>
      <c r="L138" s="97">
        <f t="shared" si="46"/>
        <v>0</v>
      </c>
      <c r="M138" s="97">
        <f t="shared" si="47"/>
        <v>0</v>
      </c>
      <c r="R138" s="94" t="s">
        <v>25</v>
      </c>
      <c r="S138" s="94"/>
      <c r="T138" s="94"/>
      <c r="U138" s="94"/>
      <c r="V138" s="292" t="s">
        <v>4405</v>
      </c>
      <c r="W138" s="292" t="s">
        <v>4417</v>
      </c>
      <c r="X138" s="292" t="s">
        <v>4418</v>
      </c>
      <c r="Y138" t="s">
        <v>25</v>
      </c>
      <c r="Z138" t="s">
        <v>25</v>
      </c>
      <c r="AB138" t="s">
        <v>25</v>
      </c>
      <c r="AI138" s="119">
        <v>118</v>
      </c>
      <c r="AJ138" s="77" t="s">
        <v>4616</v>
      </c>
      <c r="AK138" s="77">
        <v>8739459</v>
      </c>
      <c r="AL138" s="119">
        <v>2</v>
      </c>
      <c r="AM138" s="119">
        <f t="shared" si="45"/>
        <v>1080</v>
      </c>
      <c r="AN138" s="77">
        <f t="shared" si="44"/>
        <v>9438615720</v>
      </c>
      <c r="AO138" s="119" t="s">
        <v>4580</v>
      </c>
    </row>
    <row r="139" spans="6:44">
      <c r="G139" s="32" t="s">
        <v>5438</v>
      </c>
      <c r="H139" s="32"/>
      <c r="I139" s="205"/>
      <c r="J139" s="205"/>
      <c r="K139" s="32"/>
      <c r="L139" s="97">
        <f t="shared" si="46"/>
        <v>0</v>
      </c>
      <c r="M139" s="97">
        <f t="shared" si="47"/>
        <v>0</v>
      </c>
      <c r="N139" s="94"/>
      <c r="R139" s="94"/>
      <c r="S139" s="94"/>
      <c r="T139" s="94"/>
      <c r="U139" s="120">
        <f>W139-$W$145</f>
        <v>1497247</v>
      </c>
      <c r="V139" s="292" t="s">
        <v>743</v>
      </c>
      <c r="W139" s="292">
        <v>1497247</v>
      </c>
      <c r="X139" s="420">
        <f>W139*$U$565</f>
        <v>4469500909.5004911</v>
      </c>
      <c r="Y139">
        <f>X139*100/$X$145</f>
        <v>35.292394152659092</v>
      </c>
      <c r="Z139" s="111">
        <f>Y139*0.01*$Z$136</f>
        <v>378509577.35319245</v>
      </c>
      <c r="AA139" s="111">
        <f>Y139*0.01*$AA$136</f>
        <v>128817238.6572057</v>
      </c>
      <c r="AB139" t="s">
        <v>25</v>
      </c>
      <c r="AD139" t="s">
        <v>25</v>
      </c>
      <c r="AI139" s="119">
        <v>119</v>
      </c>
      <c r="AJ139" s="77" t="s">
        <v>4617</v>
      </c>
      <c r="AK139" s="77">
        <v>17595278</v>
      </c>
      <c r="AL139" s="119">
        <v>1</v>
      </c>
      <c r="AM139" s="119">
        <f t="shared" si="45"/>
        <v>1078</v>
      </c>
      <c r="AN139" s="77">
        <f t="shared" si="44"/>
        <v>18967709684</v>
      </c>
      <c r="AO139" s="119" t="s">
        <v>4619</v>
      </c>
      <c r="AR139" t="s">
        <v>25</v>
      </c>
    </row>
    <row r="140" spans="6:44">
      <c r="G140" s="32" t="s">
        <v>5455</v>
      </c>
      <c r="H140" s="32">
        <v>3270584</v>
      </c>
      <c r="I140" s="205">
        <v>250916</v>
      </c>
      <c r="J140" s="205">
        <v>2496979</v>
      </c>
      <c r="K140" s="32">
        <v>203160</v>
      </c>
      <c r="L140" s="97">
        <f t="shared" si="46"/>
        <v>5767563</v>
      </c>
      <c r="M140" s="97">
        <f t="shared" si="47"/>
        <v>454076</v>
      </c>
      <c r="N140" s="94"/>
      <c r="R140" t="s">
        <v>25</v>
      </c>
      <c r="U140" s="120">
        <f>W140-$W$145</f>
        <v>2573149</v>
      </c>
      <c r="V140" s="292" t="s">
        <v>4407</v>
      </c>
      <c r="W140" s="292">
        <v>2573149</v>
      </c>
      <c r="X140" s="420">
        <f>W140*$U$565</f>
        <v>7681225473.0049753</v>
      </c>
      <c r="Y140" s="94">
        <f>X140*100/$X$145</f>
        <v>60.653044368444618</v>
      </c>
      <c r="Z140" s="111">
        <f>Y140*0.01*$Z$136</f>
        <v>650501580.87262142</v>
      </c>
      <c r="AA140" s="111">
        <f>Y140*0.01*$AA$136</f>
        <v>221383611.94482285</v>
      </c>
      <c r="AB140" t="s">
        <v>25</v>
      </c>
      <c r="AI140" s="119">
        <v>120</v>
      </c>
      <c r="AJ140" s="77" t="s">
        <v>4618</v>
      </c>
      <c r="AK140" s="77">
        <v>13335309</v>
      </c>
      <c r="AL140" s="119">
        <v>13</v>
      </c>
      <c r="AM140" s="119">
        <f t="shared" si="45"/>
        <v>1077</v>
      </c>
      <c r="AN140" s="77">
        <f t="shared" si="44"/>
        <v>14362127793</v>
      </c>
      <c r="AO140" s="119" t="s">
        <v>4593</v>
      </c>
    </row>
    <row r="141" spans="6:44">
      <c r="G141" s="32" t="s">
        <v>5456</v>
      </c>
      <c r="H141" s="32">
        <v>3225584</v>
      </c>
      <c r="I141" s="205">
        <v>260042</v>
      </c>
      <c r="J141" s="205">
        <v>2466124</v>
      </c>
      <c r="K141" s="32">
        <v>210439</v>
      </c>
      <c r="L141" s="97">
        <f t="shared" si="46"/>
        <v>5691708</v>
      </c>
      <c r="M141" s="97">
        <f t="shared" si="47"/>
        <v>470481</v>
      </c>
      <c r="N141" s="94"/>
      <c r="R141" t="s">
        <v>25</v>
      </c>
      <c r="T141" t="s">
        <v>25</v>
      </c>
      <c r="U141" s="120">
        <f>W141-$W$145</f>
        <v>42250</v>
      </c>
      <c r="V141" s="292" t="s">
        <v>4406</v>
      </c>
      <c r="W141" s="292">
        <v>42250</v>
      </c>
      <c r="X141" s="420">
        <f>W141*$U$565</f>
        <v>126122418.96386886</v>
      </c>
      <c r="Y141" s="94">
        <f>X141*100/$X$145</f>
        <v>0.9958969047524201</v>
      </c>
      <c r="Z141" s="111">
        <f>Y141*0.01*$Z$136</f>
        <v>10680956.210413098</v>
      </c>
      <c r="AA141" s="111">
        <f>Y141*0.01*$AA$136</f>
        <v>3635023.7023463333</v>
      </c>
      <c r="AB141" t="s">
        <v>25</v>
      </c>
      <c r="AC141" t="s">
        <v>25</v>
      </c>
      <c r="AI141" s="159">
        <v>121</v>
      </c>
      <c r="AJ141" s="215" t="s">
        <v>4667</v>
      </c>
      <c r="AK141" s="215">
        <v>50000000</v>
      </c>
      <c r="AL141" s="159">
        <v>11</v>
      </c>
      <c r="AM141" s="159">
        <f t="shared" si="45"/>
        <v>1064</v>
      </c>
      <c r="AN141" s="215">
        <f t="shared" si="44"/>
        <v>53200000000</v>
      </c>
      <c r="AO141" s="159" t="s">
        <v>4668</v>
      </c>
      <c r="AQ141" t="s">
        <v>25</v>
      </c>
    </row>
    <row r="142" spans="6:44">
      <c r="G142" s="32" t="s">
        <v>5457</v>
      </c>
      <c r="H142" s="32">
        <v>3271778</v>
      </c>
      <c r="I142" s="205">
        <v>282233</v>
      </c>
      <c r="J142" s="205">
        <v>2458563</v>
      </c>
      <c r="K142" s="32">
        <v>212082</v>
      </c>
      <c r="L142" s="97">
        <f t="shared" si="46"/>
        <v>5730341</v>
      </c>
      <c r="M142" s="97">
        <f t="shared" si="47"/>
        <v>494315</v>
      </c>
      <c r="N142" s="94"/>
      <c r="R142" t="s">
        <v>25</v>
      </c>
      <c r="U142" s="120">
        <f>W142-$W$145</f>
        <v>129761</v>
      </c>
      <c r="V142" s="292" t="s">
        <v>1069</v>
      </c>
      <c r="W142" s="292">
        <v>129761</v>
      </c>
      <c r="X142" s="420">
        <f>W142*$U$565</f>
        <v>387355531.5306648</v>
      </c>
      <c r="Y142" s="94">
        <f>X142*100/$X$145</f>
        <v>3.0586645741438767</v>
      </c>
      <c r="Z142" s="111">
        <f>Y142*0.01*$Z$136</f>
        <v>32804060.563773118</v>
      </c>
      <c r="AA142" s="111">
        <f>Y142*0.01*$AA$136</f>
        <v>11164125.695625151</v>
      </c>
      <c r="AI142" s="20">
        <v>122</v>
      </c>
      <c r="AJ142" s="115" t="s">
        <v>957</v>
      </c>
      <c r="AK142" s="115">
        <v>30000</v>
      </c>
      <c r="AL142" s="20">
        <v>3</v>
      </c>
      <c r="AM142" s="20">
        <f t="shared" si="45"/>
        <v>1053</v>
      </c>
      <c r="AN142" s="115">
        <f t="shared" si="44"/>
        <v>31590000</v>
      </c>
      <c r="AO142" s="20"/>
    </row>
    <row r="143" spans="6:44">
      <c r="G143" s="32" t="s">
        <v>5463</v>
      </c>
      <c r="H143" s="32">
        <v>3298939</v>
      </c>
      <c r="I143" s="205">
        <v>281309</v>
      </c>
      <c r="J143" s="205">
        <v>2465538</v>
      </c>
      <c r="K143" s="32">
        <v>210242</v>
      </c>
      <c r="L143" s="97">
        <f t="shared" si="46"/>
        <v>5764477</v>
      </c>
      <c r="M143" s="97">
        <f t="shared" si="47"/>
        <v>491551</v>
      </c>
      <c r="N143" s="94"/>
      <c r="P143" t="s">
        <v>25</v>
      </c>
      <c r="V143" s="292"/>
      <c r="W143" s="292"/>
      <c r="X143" s="292"/>
      <c r="Y143" s="113"/>
      <c r="Z143" t="s">
        <v>25</v>
      </c>
      <c r="AB143" t="s">
        <v>25</v>
      </c>
      <c r="AI143" s="20">
        <v>123</v>
      </c>
      <c r="AJ143" s="115" t="s">
        <v>4723</v>
      </c>
      <c r="AK143" s="115">
        <v>600000</v>
      </c>
      <c r="AL143" s="20">
        <v>1</v>
      </c>
      <c r="AM143" s="20">
        <f t="shared" si="45"/>
        <v>1050</v>
      </c>
      <c r="AN143" s="115">
        <f t="shared" si="44"/>
        <v>630000000</v>
      </c>
      <c r="AO143" s="20"/>
    </row>
    <row r="144" spans="6:44">
      <c r="G144" s="32" t="s">
        <v>5467</v>
      </c>
      <c r="H144" s="32">
        <v>3453903</v>
      </c>
      <c r="I144" s="205">
        <v>259725</v>
      </c>
      <c r="J144" s="205">
        <v>2541096</v>
      </c>
      <c r="K144" s="32">
        <v>191084</v>
      </c>
      <c r="L144" s="97">
        <f t="shared" si="46"/>
        <v>5994999</v>
      </c>
      <c r="M144" s="97">
        <f t="shared" si="47"/>
        <v>450809</v>
      </c>
      <c r="N144" s="94"/>
      <c r="O144" s="94"/>
      <c r="R144" t="s">
        <v>25</v>
      </c>
      <c r="T144" t="s">
        <v>25</v>
      </c>
      <c r="U144" s="94"/>
      <c r="V144" s="292"/>
      <c r="W144" s="292">
        <f>SUM(W139:W142)</f>
        <v>4242407</v>
      </c>
      <c r="X144" s="292"/>
      <c r="Y144" s="112" t="s">
        <v>25</v>
      </c>
      <c r="Z144" t="s">
        <v>25</v>
      </c>
      <c r="AA144" t="s">
        <v>25</v>
      </c>
      <c r="AI144" s="20">
        <v>124</v>
      </c>
      <c r="AJ144" s="115" t="s">
        <v>4726</v>
      </c>
      <c r="AK144" s="115">
        <v>30000</v>
      </c>
      <c r="AL144" s="20">
        <v>3</v>
      </c>
      <c r="AM144" s="20">
        <f t="shared" si="45"/>
        <v>1049</v>
      </c>
      <c r="AN144" s="115">
        <f t="shared" si="44"/>
        <v>31470000</v>
      </c>
      <c r="AO144" s="20"/>
    </row>
    <row r="145" spans="5:45">
      <c r="G145" s="32" t="s">
        <v>6239</v>
      </c>
      <c r="H145" s="32">
        <v>4796613</v>
      </c>
      <c r="I145" s="205">
        <v>250296</v>
      </c>
      <c r="J145" s="205">
        <v>2687591</v>
      </c>
      <c r="K145" s="32">
        <v>140243</v>
      </c>
      <c r="L145" s="97">
        <f t="shared" si="46"/>
        <v>7484204</v>
      </c>
      <c r="M145" s="97">
        <f t="shared" si="47"/>
        <v>390539</v>
      </c>
      <c r="N145" s="94"/>
      <c r="Q145" s="112"/>
      <c r="R145" s="94" t="s">
        <v>25</v>
      </c>
      <c r="S145" s="94"/>
      <c r="T145" s="94" t="s">
        <v>25</v>
      </c>
      <c r="U145" t="s">
        <v>25</v>
      </c>
      <c r="V145" s="292"/>
      <c r="W145" s="292">
        <f>W144-V562</f>
        <v>0</v>
      </c>
      <c r="X145" s="420">
        <f>SUM(X139:X142)</f>
        <v>12664204333</v>
      </c>
      <c r="Y145" s="94"/>
      <c r="Z145" t="s">
        <v>25</v>
      </c>
      <c r="AA145" t="s">
        <v>25</v>
      </c>
      <c r="AC145" t="s">
        <v>25</v>
      </c>
      <c r="AD145" t="s">
        <v>25</v>
      </c>
      <c r="AI145" s="20">
        <v>125</v>
      </c>
      <c r="AJ145" s="115" t="s">
        <v>4732</v>
      </c>
      <c r="AK145" s="115">
        <v>2250000</v>
      </c>
      <c r="AL145" s="20">
        <v>1</v>
      </c>
      <c r="AM145" s="20">
        <f t="shared" si="45"/>
        <v>1046</v>
      </c>
      <c r="AN145" s="115">
        <f>AK145*AM145</f>
        <v>2353500000</v>
      </c>
      <c r="AO145" s="20"/>
      <c r="AS145" t="s">
        <v>25</v>
      </c>
    </row>
    <row r="146" spans="5:45">
      <c r="G146" s="32"/>
      <c r="H146" s="32"/>
      <c r="I146" s="205"/>
      <c r="J146" s="205"/>
      <c r="K146" s="32"/>
      <c r="L146" s="97"/>
      <c r="M146" s="97"/>
      <c r="R146" s="94"/>
      <c r="S146" s="94"/>
      <c r="T146" s="94"/>
      <c r="U146" s="94" t="s">
        <v>25</v>
      </c>
      <c r="V146" s="292"/>
      <c r="W146" s="292" t="s">
        <v>5804</v>
      </c>
      <c r="X146" s="420">
        <f>S157-X142</f>
        <v>100079212.4693352</v>
      </c>
      <c r="Y146" s="94"/>
      <c r="Z146" t="s">
        <v>25</v>
      </c>
      <c r="AA146" t="s">
        <v>25</v>
      </c>
      <c r="AC146" s="94"/>
      <c r="AI146" s="23">
        <v>126</v>
      </c>
      <c r="AJ146" s="35" t="s">
        <v>4737</v>
      </c>
      <c r="AK146" s="35">
        <v>-31412200</v>
      </c>
      <c r="AL146" s="23">
        <v>1</v>
      </c>
      <c r="AM146" s="20">
        <f t="shared" si="45"/>
        <v>1045</v>
      </c>
      <c r="AN146" s="35">
        <f>AK146*AM146</f>
        <v>-32825749000</v>
      </c>
      <c r="AO146" s="23" t="s">
        <v>4725</v>
      </c>
    </row>
    <row r="147" spans="5:45">
      <c r="G147" s="32"/>
      <c r="H147" s="32"/>
      <c r="I147" s="205"/>
      <c r="J147" s="205"/>
      <c r="K147" s="32"/>
      <c r="L147" s="97">
        <f>H147+J147</f>
        <v>0</v>
      </c>
      <c r="M147" s="97">
        <f>I147+K147</f>
        <v>0</v>
      </c>
      <c r="P147" t="s">
        <v>25</v>
      </c>
      <c r="R147" s="94" t="s">
        <v>25</v>
      </c>
      <c r="S147" s="94"/>
      <c r="T147" s="94"/>
      <c r="U147" s="94" t="s">
        <v>25</v>
      </c>
      <c r="V147" s="292"/>
      <c r="W147" s="292" t="s">
        <v>5803</v>
      </c>
      <c r="X147" s="420">
        <f>X141-X146</f>
        <v>26043206.494533658</v>
      </c>
      <c r="Y147" s="94"/>
      <c r="AA147" t="s">
        <v>25</v>
      </c>
      <c r="AB147" t="s">
        <v>25</v>
      </c>
      <c r="AC147" s="94"/>
      <c r="AI147" s="20">
        <v>127</v>
      </c>
      <c r="AJ147" s="115" t="s">
        <v>4746</v>
      </c>
      <c r="AK147" s="115">
        <v>70000</v>
      </c>
      <c r="AL147" s="20">
        <v>9</v>
      </c>
      <c r="AM147" s="20">
        <f t="shared" si="45"/>
        <v>1044</v>
      </c>
      <c r="AN147" s="115">
        <f>AK147*AM147</f>
        <v>73080000</v>
      </c>
      <c r="AO147" s="20"/>
    </row>
    <row r="148" spans="5:45">
      <c r="N148" s="112"/>
      <c r="R148" s="94" t="s">
        <v>25</v>
      </c>
      <c r="S148" s="94"/>
      <c r="T148" s="94" t="s">
        <v>25</v>
      </c>
      <c r="U148" s="94"/>
      <c r="V148" s="292"/>
      <c r="W148" s="292" t="s">
        <v>4910</v>
      </c>
      <c r="X148" s="420">
        <f>X139+X147-S156</f>
        <v>-49554842.004975319</v>
      </c>
      <c r="Y148" s="94"/>
      <c r="Z148" t="s">
        <v>25</v>
      </c>
      <c r="AC148" t="s">
        <v>25</v>
      </c>
      <c r="AI148" s="97">
        <v>128</v>
      </c>
      <c r="AJ148" s="111" t="s">
        <v>4752</v>
      </c>
      <c r="AK148" s="111">
        <v>20000</v>
      </c>
      <c r="AL148" s="97">
        <v>10</v>
      </c>
      <c r="AM148" s="20">
        <f t="shared" si="45"/>
        <v>1035</v>
      </c>
      <c r="AN148" s="115">
        <f>AK148*AM148</f>
        <v>20700000</v>
      </c>
      <c r="AO148" s="20"/>
      <c r="AQ148" t="s">
        <v>25</v>
      </c>
    </row>
    <row r="149" spans="5:45">
      <c r="R149" s="94"/>
      <c r="S149" s="94"/>
      <c r="T149" s="94"/>
      <c r="U149" s="94"/>
      <c r="V149" s="292"/>
      <c r="W149" s="292"/>
      <c r="X149" s="420"/>
      <c r="Y149" s="113"/>
      <c r="Z149" t="s">
        <v>25</v>
      </c>
      <c r="AI149" s="97">
        <v>129</v>
      </c>
      <c r="AJ149" s="111" t="s">
        <v>4772</v>
      </c>
      <c r="AK149" s="111">
        <v>1000000</v>
      </c>
      <c r="AL149" s="97">
        <v>1</v>
      </c>
      <c r="AM149" s="20">
        <f t="shared" si="45"/>
        <v>1025</v>
      </c>
      <c r="AN149" s="115">
        <f>AK149*AM149</f>
        <v>1025000000</v>
      </c>
      <c r="AO149" s="20"/>
    </row>
    <row r="150" spans="5:45">
      <c r="E150" s="121"/>
      <c r="K150" t="s">
        <v>25</v>
      </c>
      <c r="M150" t="s">
        <v>25</v>
      </c>
      <c r="N150" s="112"/>
      <c r="R150" s="94"/>
      <c r="S150" s="94"/>
      <c r="T150" s="94"/>
      <c r="U150" s="94"/>
      <c r="W150" s="94"/>
      <c r="Z150" t="s">
        <v>25</v>
      </c>
      <c r="AD150" s="112" t="s">
        <v>25</v>
      </c>
      <c r="AE150" s="112"/>
      <c r="AI150" s="97">
        <v>130</v>
      </c>
      <c r="AJ150" s="111" t="s">
        <v>4773</v>
      </c>
      <c r="AK150" s="111">
        <v>65630227</v>
      </c>
      <c r="AL150" s="97">
        <v>0</v>
      </c>
      <c r="AM150" s="20">
        <f t="shared" si="45"/>
        <v>1024</v>
      </c>
      <c r="AN150" s="115">
        <f t="shared" ref="AN150:AN177" si="48">AK150*AM150</f>
        <v>67205352448</v>
      </c>
      <c r="AO150" s="20" t="s">
        <v>4776</v>
      </c>
      <c r="AQ150" t="s">
        <v>25</v>
      </c>
      <c r="AS150" t="s">
        <v>25</v>
      </c>
    </row>
    <row r="151" spans="5:45">
      <c r="G151" s="205" t="s">
        <v>180</v>
      </c>
      <c r="H151" s="205" t="s">
        <v>5448</v>
      </c>
      <c r="I151" t="s">
        <v>5441</v>
      </c>
      <c r="P151" s="112"/>
      <c r="Q151" s="112"/>
      <c r="R151" s="94"/>
      <c r="S151" s="94"/>
      <c r="T151" s="94"/>
      <c r="U151" s="94" t="s">
        <v>25</v>
      </c>
      <c r="W151" s="94"/>
      <c r="AD151" s="112"/>
      <c r="AI151" s="97">
        <v>131</v>
      </c>
      <c r="AJ151" s="111" t="s">
        <v>4773</v>
      </c>
      <c r="AK151" s="111">
        <v>-3500000</v>
      </c>
      <c r="AL151" s="97">
        <v>6</v>
      </c>
      <c r="AM151" s="20">
        <f t="shared" si="45"/>
        <v>1024</v>
      </c>
      <c r="AN151" s="115">
        <f t="shared" si="48"/>
        <v>-3584000000</v>
      </c>
      <c r="AO151" s="20" t="s">
        <v>4775</v>
      </c>
    </row>
    <row r="152" spans="5:45">
      <c r="G152" s="205" t="s">
        <v>5415</v>
      </c>
      <c r="H152" s="1">
        <v>30000000</v>
      </c>
      <c r="I152" s="289" t="s">
        <v>5442</v>
      </c>
      <c r="M152" t="s">
        <v>25</v>
      </c>
      <c r="O152" s="94"/>
      <c r="T152" s="94" t="s">
        <v>25</v>
      </c>
      <c r="U152" s="94"/>
      <c r="W152" s="94"/>
      <c r="AD152" s="112"/>
      <c r="AE152" s="112"/>
      <c r="AI152" s="97">
        <v>132</v>
      </c>
      <c r="AJ152" s="111" t="s">
        <v>4785</v>
      </c>
      <c r="AK152" s="111">
        <v>2520000</v>
      </c>
      <c r="AL152" s="97">
        <v>12</v>
      </c>
      <c r="AM152" s="20">
        <f t="shared" si="45"/>
        <v>1018</v>
      </c>
      <c r="AN152" s="115">
        <f t="shared" si="48"/>
        <v>2565360000</v>
      </c>
      <c r="AO152" s="20"/>
    </row>
    <row r="153" spans="5:45">
      <c r="G153" s="205" t="s">
        <v>5416</v>
      </c>
      <c r="H153" s="1">
        <v>550000</v>
      </c>
      <c r="I153" t="s">
        <v>5443</v>
      </c>
      <c r="O153" s="94"/>
      <c r="Q153" s="112"/>
      <c r="R153" s="94"/>
      <c r="S153" s="94"/>
      <c r="T153" s="94"/>
      <c r="U153" s="97" t="s">
        <v>180</v>
      </c>
      <c r="V153" s="97" t="s">
        <v>4430</v>
      </c>
      <c r="W153" s="97" t="s">
        <v>4431</v>
      </c>
      <c r="X153" s="97" t="s">
        <v>4441</v>
      </c>
      <c r="Y153" s="97" t="s">
        <v>8</v>
      </c>
      <c r="Z153" t="s">
        <v>25</v>
      </c>
      <c r="AC153" t="s">
        <v>25</v>
      </c>
      <c r="AD153" t="s">
        <v>25</v>
      </c>
      <c r="AI153" s="97">
        <v>133</v>
      </c>
      <c r="AJ153" s="111" t="s">
        <v>4820</v>
      </c>
      <c r="AK153" s="111">
        <v>1400000</v>
      </c>
      <c r="AL153" s="97">
        <v>4</v>
      </c>
      <c r="AM153" s="20">
        <f t="shared" si="45"/>
        <v>1006</v>
      </c>
      <c r="AN153" s="115">
        <f t="shared" si="48"/>
        <v>1408400000</v>
      </c>
      <c r="AO153" s="20"/>
    </row>
    <row r="154" spans="5:45">
      <c r="G154" s="205" t="s">
        <v>5417</v>
      </c>
      <c r="H154" s="1">
        <v>70370000</v>
      </c>
      <c r="I154" t="s">
        <v>4082</v>
      </c>
      <c r="O154" s="94"/>
      <c r="R154" s="94"/>
      <c r="S154" s="94"/>
      <c r="T154" s="94"/>
      <c r="U154" s="111" t="s">
        <v>4416</v>
      </c>
      <c r="V154" s="54">
        <v>1000000</v>
      </c>
      <c r="W154" s="111">
        <v>239.024</v>
      </c>
      <c r="X154" s="111">
        <f t="shared" ref="X154:X255" si="49">V154*W154</f>
        <v>239024000</v>
      </c>
      <c r="Y154" s="97"/>
      <c r="AA154" t="s">
        <v>25</v>
      </c>
      <c r="AI154" s="97">
        <v>134</v>
      </c>
      <c r="AJ154" s="111" t="s">
        <v>4835</v>
      </c>
      <c r="AK154" s="111">
        <v>1550000</v>
      </c>
      <c r="AL154" s="97">
        <v>2</v>
      </c>
      <c r="AM154" s="20">
        <f t="shared" si="45"/>
        <v>1002</v>
      </c>
      <c r="AN154" s="115">
        <f t="shared" si="48"/>
        <v>1553100000</v>
      </c>
      <c r="AO154" s="20"/>
    </row>
    <row r="155" spans="5:45">
      <c r="G155" s="205" t="s">
        <v>5418</v>
      </c>
      <c r="H155" s="1">
        <v>1215000</v>
      </c>
      <c r="I155" t="s">
        <v>5444</v>
      </c>
      <c r="O155" s="94"/>
      <c r="R155" s="433" t="s">
        <v>4509</v>
      </c>
      <c r="S155" s="1">
        <f>SUM(N51:N60)</f>
        <v>7631670304</v>
      </c>
      <c r="U155" s="166" t="s">
        <v>4399</v>
      </c>
      <c r="V155" s="54">
        <v>5904</v>
      </c>
      <c r="W155" s="111">
        <v>237.148</v>
      </c>
      <c r="X155" s="111">
        <f t="shared" si="49"/>
        <v>1400121.7919999999</v>
      </c>
      <c r="Y155" s="97" t="s">
        <v>743</v>
      </c>
      <c r="AA155" t="s">
        <v>25</v>
      </c>
      <c r="AC155" t="s">
        <v>25</v>
      </c>
      <c r="AI155" s="97">
        <v>135</v>
      </c>
      <c r="AJ155" s="111" t="s">
        <v>4792</v>
      </c>
      <c r="AK155" s="111">
        <v>250000</v>
      </c>
      <c r="AL155" s="97">
        <v>6</v>
      </c>
      <c r="AM155" s="20">
        <f t="shared" si="45"/>
        <v>1000</v>
      </c>
      <c r="AN155" s="115">
        <f t="shared" si="48"/>
        <v>250000000</v>
      </c>
      <c r="AO155" s="20"/>
    </row>
    <row r="156" spans="5:45">
      <c r="G156" s="205" t="s">
        <v>5419</v>
      </c>
      <c r="H156" s="1">
        <v>15350000</v>
      </c>
      <c r="I156" s="289" t="s">
        <v>5445</v>
      </c>
      <c r="O156" s="94"/>
      <c r="R156" s="32" t="s">
        <v>4408</v>
      </c>
      <c r="S156" s="1">
        <f>SUM(N32:N37)</f>
        <v>4545098958</v>
      </c>
      <c r="U156" s="166" t="s">
        <v>4205</v>
      </c>
      <c r="V156" s="166">
        <v>1000</v>
      </c>
      <c r="W156" s="111">
        <v>247.393</v>
      </c>
      <c r="X156" s="111">
        <f t="shared" si="49"/>
        <v>247393</v>
      </c>
      <c r="Y156" s="97" t="s">
        <v>743</v>
      </c>
      <c r="Z156" t="s">
        <v>25</v>
      </c>
      <c r="AI156" s="97">
        <v>136</v>
      </c>
      <c r="AJ156" s="111" t="s">
        <v>4844</v>
      </c>
      <c r="AK156" s="111">
        <v>-48527480</v>
      </c>
      <c r="AL156" s="97">
        <v>14</v>
      </c>
      <c r="AM156" s="20">
        <f t="shared" si="45"/>
        <v>994</v>
      </c>
      <c r="AN156" s="115">
        <f t="shared" si="48"/>
        <v>-48236315120</v>
      </c>
      <c r="AO156" s="20" t="s">
        <v>4846</v>
      </c>
    </row>
    <row r="157" spans="5:45">
      <c r="G157" s="205" t="s">
        <v>5420</v>
      </c>
      <c r="H157" s="1">
        <v>70000</v>
      </c>
      <c r="I157" t="s">
        <v>5446</v>
      </c>
      <c r="K157" t="s">
        <v>25</v>
      </c>
      <c r="M157" t="s">
        <v>25</v>
      </c>
      <c r="O157" s="94"/>
      <c r="P157" s="112">
        <v>153756.41398000001</v>
      </c>
      <c r="R157" s="32" t="s">
        <v>4409</v>
      </c>
      <c r="S157" s="1">
        <f>SUM(N40:N41)</f>
        <v>487434744</v>
      </c>
      <c r="U157" s="326" t="s">
        <v>4442</v>
      </c>
      <c r="V157" s="326">
        <v>8071</v>
      </c>
      <c r="W157" s="90">
        <v>247.797</v>
      </c>
      <c r="X157" s="90">
        <f t="shared" si="49"/>
        <v>1999969.5870000001</v>
      </c>
      <c r="Y157" s="89" t="s">
        <v>4406</v>
      </c>
      <c r="Z157" t="s">
        <v>25</v>
      </c>
      <c r="AI157" s="97">
        <v>137</v>
      </c>
      <c r="AJ157" s="111" t="s">
        <v>4866</v>
      </c>
      <c r="AK157" s="111">
        <v>2100000</v>
      </c>
      <c r="AL157" s="97">
        <v>1</v>
      </c>
      <c r="AM157" s="20">
        <f t="shared" si="45"/>
        <v>980</v>
      </c>
      <c r="AN157" s="115">
        <f t="shared" si="48"/>
        <v>2058000000</v>
      </c>
      <c r="AO157" s="20"/>
    </row>
    <row r="158" spans="5:45">
      <c r="G158" s="205" t="s">
        <v>5424</v>
      </c>
      <c r="H158" s="1">
        <v>800000</v>
      </c>
      <c r="I158" t="s">
        <v>5447</v>
      </c>
      <c r="P158" s="112"/>
      <c r="Q158" s="112"/>
      <c r="R158" s="32" t="s">
        <v>4410</v>
      </c>
      <c r="S158" s="1">
        <f>N50</f>
        <v>147</v>
      </c>
      <c r="U158" s="166" t="s">
        <v>4442</v>
      </c>
      <c r="V158" s="166">
        <v>53672</v>
      </c>
      <c r="W158" s="111">
        <v>247.797</v>
      </c>
      <c r="X158" s="111">
        <f t="shared" si="49"/>
        <v>13299760.584000001</v>
      </c>
      <c r="Y158" s="97" t="s">
        <v>452</v>
      </c>
      <c r="Z158" t="s">
        <v>25</v>
      </c>
      <c r="AI158" s="97">
        <v>138</v>
      </c>
      <c r="AJ158" s="111" t="s">
        <v>4869</v>
      </c>
      <c r="AK158" s="111">
        <v>100000</v>
      </c>
      <c r="AL158" s="97">
        <v>4</v>
      </c>
      <c r="AM158" s="20">
        <f>AM159+AL158</f>
        <v>979</v>
      </c>
      <c r="AN158" s="115">
        <f t="shared" si="48"/>
        <v>97900000</v>
      </c>
      <c r="AO158" s="20"/>
    </row>
    <row r="159" spans="5:45">
      <c r="G159" s="205" t="s">
        <v>5436</v>
      </c>
      <c r="H159" s="1">
        <v>1948000</v>
      </c>
      <c r="P159" s="112"/>
      <c r="Q159" s="112"/>
      <c r="R159" s="32" t="s">
        <v>4411</v>
      </c>
      <c r="S159" s="1">
        <f>N31</f>
        <v>302</v>
      </c>
      <c r="U159" s="326" t="s">
        <v>4450</v>
      </c>
      <c r="V159" s="326">
        <v>4099</v>
      </c>
      <c r="W159" s="90">
        <v>243.93</v>
      </c>
      <c r="X159" s="90">
        <f t="shared" si="49"/>
        <v>999869.07000000007</v>
      </c>
      <c r="Y159" s="89" t="s">
        <v>4406</v>
      </c>
      <c r="AB159" t="s">
        <v>25</v>
      </c>
      <c r="AI159" s="97">
        <v>139</v>
      </c>
      <c r="AJ159" s="111" t="s">
        <v>4874</v>
      </c>
      <c r="AK159" s="111">
        <v>900000</v>
      </c>
      <c r="AL159" s="97">
        <v>0</v>
      </c>
      <c r="AM159" s="20">
        <f t="shared" ref="AM159:AM168" si="50">AM160+AL159</f>
        <v>975</v>
      </c>
      <c r="AN159" s="115">
        <f t="shared" ref="AN159:AN168" si="51">AK159*AM159</f>
        <v>877500000</v>
      </c>
      <c r="AO159" s="20"/>
      <c r="AQ159" t="s">
        <v>25</v>
      </c>
    </row>
    <row r="160" spans="5:45">
      <c r="G160" s="205" t="s">
        <v>5461</v>
      </c>
      <c r="H160" s="1">
        <v>5745697.3157000002</v>
      </c>
      <c r="P160" s="112">
        <f>P157+S162</f>
        <v>153465.41398000001</v>
      </c>
      <c r="Q160" s="112"/>
      <c r="R160" s="32" t="s">
        <v>4412</v>
      </c>
      <c r="S160" s="1">
        <f>N39</f>
        <v>169</v>
      </c>
      <c r="U160" s="166" t="s">
        <v>4450</v>
      </c>
      <c r="V160" s="166">
        <v>9301</v>
      </c>
      <c r="W160" s="111">
        <v>243.93</v>
      </c>
      <c r="X160" s="111">
        <f t="shared" si="49"/>
        <v>2268792.9300000002</v>
      </c>
      <c r="Y160" s="97" t="s">
        <v>452</v>
      </c>
      <c r="AA160" t="s">
        <v>25</v>
      </c>
      <c r="AI160" s="97">
        <v>140</v>
      </c>
      <c r="AJ160" s="111" t="s">
        <v>4874</v>
      </c>
      <c r="AK160" s="111">
        <v>1100000</v>
      </c>
      <c r="AL160" s="97">
        <v>0</v>
      </c>
      <c r="AM160" s="20">
        <f t="shared" si="50"/>
        <v>975</v>
      </c>
      <c r="AN160" s="115">
        <f t="shared" si="51"/>
        <v>1072500000</v>
      </c>
      <c r="AO160" s="20" t="s">
        <v>4888</v>
      </c>
      <c r="AR160" t="s">
        <v>25</v>
      </c>
    </row>
    <row r="161" spans="7:44">
      <c r="G161" s="205" t="s">
        <v>5462</v>
      </c>
      <c r="H161" s="1">
        <v>908158.17935999995</v>
      </c>
      <c r="Q161" s="112"/>
      <c r="R161" s="32" t="s">
        <v>5041</v>
      </c>
      <c r="S161" s="1">
        <v>0</v>
      </c>
      <c r="T161" t="s">
        <v>25</v>
      </c>
      <c r="U161" s="326" t="s">
        <v>4454</v>
      </c>
      <c r="V161" s="326">
        <v>8334</v>
      </c>
      <c r="W161" s="90">
        <v>239.97</v>
      </c>
      <c r="X161" s="90">
        <f t="shared" si="49"/>
        <v>1999909.98</v>
      </c>
      <c r="Y161" s="89" t="s">
        <v>4406</v>
      </c>
      <c r="AI161" s="97">
        <v>141</v>
      </c>
      <c r="AJ161" s="111" t="s">
        <v>4874</v>
      </c>
      <c r="AK161" s="111">
        <v>115000</v>
      </c>
      <c r="AL161" s="97"/>
      <c r="AM161" s="20">
        <f t="shared" si="50"/>
        <v>975</v>
      </c>
      <c r="AN161" s="115">
        <f t="shared" si="51"/>
        <v>112125000</v>
      </c>
      <c r="AO161" s="20"/>
      <c r="AR161" t="s">
        <v>25</v>
      </c>
    </row>
    <row r="162" spans="7:44">
      <c r="G162" s="205" t="s">
        <v>5463</v>
      </c>
      <c r="H162" s="1">
        <v>12642697.648548001</v>
      </c>
      <c r="P162" s="112"/>
      <c r="Q162" s="112"/>
      <c r="R162" s="32" t="s">
        <v>6833</v>
      </c>
      <c r="S162" s="1">
        <v>-291</v>
      </c>
      <c r="U162" s="166" t="s">
        <v>4204</v>
      </c>
      <c r="V162" s="166">
        <v>29041</v>
      </c>
      <c r="W162" s="111">
        <v>233.45</v>
      </c>
      <c r="X162" s="111">
        <f t="shared" si="49"/>
        <v>6779621.4499999993</v>
      </c>
      <c r="Y162" s="97" t="s">
        <v>743</v>
      </c>
      <c r="Z162" s="120" t="s">
        <v>25</v>
      </c>
      <c r="AI162" s="97">
        <v>142</v>
      </c>
      <c r="AJ162" s="111" t="s">
        <v>4882</v>
      </c>
      <c r="AK162" s="111">
        <v>-1100000</v>
      </c>
      <c r="AL162" s="97"/>
      <c r="AM162" s="20">
        <f t="shared" si="50"/>
        <v>975</v>
      </c>
      <c r="AN162" s="115">
        <f t="shared" si="51"/>
        <v>-1072500000</v>
      </c>
      <c r="AO162" s="20" t="s">
        <v>4889</v>
      </c>
      <c r="AR162" t="s">
        <v>25</v>
      </c>
    </row>
    <row r="163" spans="7:44">
      <c r="G163" s="205" t="s">
        <v>5464</v>
      </c>
      <c r="H163" s="1">
        <v>12297318</v>
      </c>
      <c r="I163" t="s">
        <v>25</v>
      </c>
      <c r="Q163" s="112"/>
      <c r="R163" s="32"/>
      <c r="S163" s="1"/>
      <c r="T163" s="424"/>
      <c r="U163" s="326" t="s">
        <v>977</v>
      </c>
      <c r="V163" s="326">
        <v>12337</v>
      </c>
      <c r="W163" s="90">
        <v>243.16300000000001</v>
      </c>
      <c r="X163" s="90">
        <f t="shared" si="49"/>
        <v>2999901.9310000003</v>
      </c>
      <c r="Y163" s="89" t="s">
        <v>4406</v>
      </c>
      <c r="AI163" s="97">
        <v>143</v>
      </c>
      <c r="AJ163" s="111" t="s">
        <v>4882</v>
      </c>
      <c r="AK163" s="111">
        <v>900000</v>
      </c>
      <c r="AL163" s="97">
        <v>1</v>
      </c>
      <c r="AM163" s="20">
        <f t="shared" si="50"/>
        <v>975</v>
      </c>
      <c r="AN163" s="115">
        <f t="shared" si="51"/>
        <v>877500000</v>
      </c>
      <c r="AO163" s="20" t="s">
        <v>4888</v>
      </c>
    </row>
    <row r="164" spans="7:44">
      <c r="G164" s="205" t="s">
        <v>5465</v>
      </c>
      <c r="H164" s="1">
        <v>8959644</v>
      </c>
      <c r="O164" s="94" t="s">
        <v>25</v>
      </c>
      <c r="P164" s="112"/>
      <c r="Q164" s="112"/>
      <c r="R164" s="32"/>
      <c r="S164" s="1"/>
      <c r="T164" s="424"/>
      <c r="U164" s="166" t="s">
        <v>4527</v>
      </c>
      <c r="V164" s="166">
        <v>-16118</v>
      </c>
      <c r="W164" s="111">
        <v>248.17</v>
      </c>
      <c r="X164" s="111">
        <f t="shared" si="49"/>
        <v>-4000004.0599999996</v>
      </c>
      <c r="Y164" s="97" t="s">
        <v>743</v>
      </c>
      <c r="Z164" t="s">
        <v>25</v>
      </c>
      <c r="AI164" s="97">
        <v>144</v>
      </c>
      <c r="AJ164" s="111" t="s">
        <v>4886</v>
      </c>
      <c r="AK164" s="111">
        <v>2000000</v>
      </c>
      <c r="AL164" s="97">
        <v>0</v>
      </c>
      <c r="AM164" s="20">
        <f t="shared" si="50"/>
        <v>974</v>
      </c>
      <c r="AN164" s="115">
        <f t="shared" si="51"/>
        <v>1948000000</v>
      </c>
      <c r="AO164" s="20"/>
    </row>
    <row r="165" spans="7:44">
      <c r="G165" s="205" t="s">
        <v>5466</v>
      </c>
      <c r="H165" s="111">
        <v>15154095.839328</v>
      </c>
      <c r="O165" s="94"/>
      <c r="P165" s="112"/>
      <c r="Q165" s="112"/>
      <c r="R165" s="433"/>
      <c r="S165" s="1"/>
      <c r="T165" s="113" t="s">
        <v>25</v>
      </c>
      <c r="U165" s="166" t="s">
        <v>4548</v>
      </c>
      <c r="V165" s="166">
        <v>101681</v>
      </c>
      <c r="W165" s="111">
        <v>246.5711</v>
      </c>
      <c r="X165" s="111">
        <f t="shared" si="49"/>
        <v>25071596.019099999</v>
      </c>
      <c r="Y165" s="97" t="s">
        <v>452</v>
      </c>
      <c r="AI165" s="97">
        <v>145</v>
      </c>
      <c r="AJ165" s="111" t="s">
        <v>4886</v>
      </c>
      <c r="AK165" s="111">
        <v>360000</v>
      </c>
      <c r="AL165" s="97">
        <v>1</v>
      </c>
      <c r="AM165" s="20">
        <f t="shared" si="50"/>
        <v>974</v>
      </c>
      <c r="AN165" s="115">
        <f t="shared" si="51"/>
        <v>350640000</v>
      </c>
      <c r="AO165" s="20"/>
    </row>
    <row r="166" spans="7:44">
      <c r="G166" s="205" t="s">
        <v>5471</v>
      </c>
      <c r="H166" s="111">
        <v>4108143</v>
      </c>
      <c r="O166" s="94"/>
      <c r="P166" s="112"/>
      <c r="Q166" s="112"/>
      <c r="R166" s="32"/>
      <c r="S166" s="1"/>
      <c r="T166" s="120" t="s">
        <v>25</v>
      </c>
      <c r="U166" s="166" t="s">
        <v>4552</v>
      </c>
      <c r="V166" s="166">
        <v>66606</v>
      </c>
      <c r="W166" s="111">
        <v>251.131</v>
      </c>
      <c r="X166" s="111">
        <f t="shared" si="49"/>
        <v>16726831.386</v>
      </c>
      <c r="Y166" s="97" t="s">
        <v>743</v>
      </c>
      <c r="AI166" s="97">
        <v>146</v>
      </c>
      <c r="AJ166" s="111" t="s">
        <v>4887</v>
      </c>
      <c r="AK166" s="111">
        <v>3000000</v>
      </c>
      <c r="AL166" s="97">
        <v>1</v>
      </c>
      <c r="AM166" s="20">
        <f t="shared" si="50"/>
        <v>973</v>
      </c>
      <c r="AN166" s="115">
        <f t="shared" si="51"/>
        <v>2919000000</v>
      </c>
      <c r="AO166" s="20"/>
    </row>
    <row r="167" spans="7:44">
      <c r="G167" s="205" t="s">
        <v>5473</v>
      </c>
      <c r="H167" s="111">
        <v>6000000</v>
      </c>
      <c r="O167" s="94"/>
      <c r="P167" s="112"/>
      <c r="Q167" s="112"/>
      <c r="R167" s="32" t="s">
        <v>5042</v>
      </c>
      <c r="S167" s="1">
        <v>0</v>
      </c>
      <c r="T167" s="120"/>
      <c r="U167" s="166" t="s">
        <v>4557</v>
      </c>
      <c r="V167" s="166">
        <v>172025</v>
      </c>
      <c r="W167" s="111">
        <v>245.52809999999999</v>
      </c>
      <c r="X167" s="111">
        <f t="shared" si="49"/>
        <v>42236971.402499996</v>
      </c>
      <c r="Y167" s="97" t="s">
        <v>452</v>
      </c>
      <c r="AI167" s="97">
        <v>147</v>
      </c>
      <c r="AJ167" s="111" t="s">
        <v>4885</v>
      </c>
      <c r="AK167" s="111">
        <v>-658226</v>
      </c>
      <c r="AL167" s="97">
        <v>1</v>
      </c>
      <c r="AM167" s="20">
        <f t="shared" si="50"/>
        <v>972</v>
      </c>
      <c r="AN167" s="115">
        <f t="shared" si="51"/>
        <v>-639795672</v>
      </c>
      <c r="AO167" s="20"/>
    </row>
    <row r="168" spans="7:44">
      <c r="G168" s="205" t="s">
        <v>5477</v>
      </c>
      <c r="H168" s="111">
        <v>8301786</v>
      </c>
      <c r="I168" t="s">
        <v>25</v>
      </c>
      <c r="O168" s="94"/>
      <c r="P168" s="112"/>
      <c r="Q168" s="112"/>
      <c r="R168" s="32"/>
      <c r="S168" s="1"/>
      <c r="T168" s="113"/>
      <c r="U168" s="166" t="s">
        <v>4557</v>
      </c>
      <c r="V168" s="166">
        <v>189227</v>
      </c>
      <c r="W168" s="111">
        <v>245.52809999999999</v>
      </c>
      <c r="X168" s="111">
        <f t="shared" si="49"/>
        <v>46460545.778700002</v>
      </c>
      <c r="Y168" s="97" t="s">
        <v>743</v>
      </c>
      <c r="AI168" s="97">
        <v>148</v>
      </c>
      <c r="AJ168" s="111" t="s">
        <v>4890</v>
      </c>
      <c r="AK168" s="111">
        <v>1000000</v>
      </c>
      <c r="AL168" s="97">
        <v>15</v>
      </c>
      <c r="AM168" s="20">
        <f t="shared" si="50"/>
        <v>971</v>
      </c>
      <c r="AN168" s="115">
        <f t="shared" si="51"/>
        <v>971000000</v>
      </c>
      <c r="AO168" s="20"/>
      <c r="AQ168" t="s">
        <v>25</v>
      </c>
    </row>
    <row r="169" spans="7:44">
      <c r="G169" s="205" t="s">
        <v>5481</v>
      </c>
      <c r="H169" s="111">
        <v>50725508.571864001</v>
      </c>
      <c r="O169" s="94"/>
      <c r="P169" s="112"/>
      <c r="Q169" s="112"/>
      <c r="R169" s="32"/>
      <c r="S169" s="1"/>
      <c r="T169" s="113"/>
      <c r="U169" s="166" t="s">
        <v>4558</v>
      </c>
      <c r="V169" s="166">
        <v>79720</v>
      </c>
      <c r="W169" s="111">
        <v>246.6568</v>
      </c>
      <c r="X169" s="111">
        <f t="shared" si="49"/>
        <v>19663480.096000001</v>
      </c>
      <c r="Y169" s="97" t="s">
        <v>452</v>
      </c>
      <c r="Z169" s="8" t="s">
        <v>25</v>
      </c>
      <c r="AA169" t="s">
        <v>25</v>
      </c>
      <c r="AI169" s="97">
        <v>149</v>
      </c>
      <c r="AJ169" s="111" t="s">
        <v>4915</v>
      </c>
      <c r="AK169" s="111">
        <v>1130250</v>
      </c>
      <c r="AL169" s="97">
        <v>5</v>
      </c>
      <c r="AM169" s="20">
        <f t="shared" si="45"/>
        <v>956</v>
      </c>
      <c r="AN169" s="115">
        <f t="shared" si="48"/>
        <v>1080519000</v>
      </c>
      <c r="AO169" s="20"/>
    </row>
    <row r="170" spans="7:44">
      <c r="G170" s="205" t="s">
        <v>5482</v>
      </c>
      <c r="H170" s="111">
        <v>2281961.458596</v>
      </c>
      <c r="O170" s="94"/>
      <c r="P170" s="112"/>
      <c r="Q170" s="112"/>
      <c r="R170" s="32" t="s">
        <v>4415</v>
      </c>
      <c r="S170" s="1">
        <f>SUM(S155:S169)</f>
        <v>12664204333</v>
      </c>
      <c r="U170" s="166" t="s">
        <v>4558</v>
      </c>
      <c r="V170" s="166">
        <v>79720</v>
      </c>
      <c r="W170" s="111">
        <v>246.6568</v>
      </c>
      <c r="X170" s="111">
        <f t="shared" si="49"/>
        <v>19663480.096000001</v>
      </c>
      <c r="Y170" s="97" t="s">
        <v>743</v>
      </c>
      <c r="AF170" s="94" t="s">
        <v>25</v>
      </c>
      <c r="AI170" s="97">
        <v>150</v>
      </c>
      <c r="AJ170" s="111" t="s">
        <v>4923</v>
      </c>
      <c r="AK170" s="111">
        <v>206000</v>
      </c>
      <c r="AL170" s="97">
        <v>2</v>
      </c>
      <c r="AM170" s="20">
        <f t="shared" si="45"/>
        <v>951</v>
      </c>
      <c r="AN170" s="115">
        <f t="shared" si="48"/>
        <v>195906000</v>
      </c>
      <c r="AO170" s="20"/>
    </row>
    <row r="171" spans="7:44">
      <c r="G171" s="205" t="s">
        <v>5489</v>
      </c>
      <c r="H171" s="111">
        <v>10998285</v>
      </c>
      <c r="P171" s="112"/>
      <c r="Q171" s="112"/>
      <c r="R171" s="94"/>
      <c r="U171" s="166" t="s">
        <v>4579</v>
      </c>
      <c r="V171" s="166">
        <v>17769</v>
      </c>
      <c r="W171" s="111">
        <v>246.17877999999999</v>
      </c>
      <c r="X171" s="111">
        <f t="shared" si="49"/>
        <v>4374350.7418200001</v>
      </c>
      <c r="Y171" s="97" t="s">
        <v>743</v>
      </c>
      <c r="AI171" s="97">
        <v>151</v>
      </c>
      <c r="AJ171" s="111" t="s">
        <v>4930</v>
      </c>
      <c r="AK171" s="111">
        <v>50000</v>
      </c>
      <c r="AL171" s="97">
        <v>2</v>
      </c>
      <c r="AM171" s="20">
        <f t="shared" si="45"/>
        <v>949</v>
      </c>
      <c r="AN171" s="115">
        <f t="shared" si="48"/>
        <v>47450000</v>
      </c>
      <c r="AO171" s="20"/>
    </row>
    <row r="172" spans="7:44">
      <c r="G172" s="205" t="s">
        <v>5490</v>
      </c>
      <c r="H172" s="111">
        <v>983018.96187300002</v>
      </c>
      <c r="P172" s="112"/>
      <c r="Q172" s="112"/>
      <c r="U172" s="166" t="s">
        <v>4579</v>
      </c>
      <c r="V172" s="166">
        <v>17769</v>
      </c>
      <c r="W172" s="111">
        <v>246.17877999999999</v>
      </c>
      <c r="X172" s="111">
        <f t="shared" si="49"/>
        <v>4374350.7418200001</v>
      </c>
      <c r="Y172" s="97" t="s">
        <v>452</v>
      </c>
      <c r="AI172" s="97">
        <v>152</v>
      </c>
      <c r="AJ172" s="111" t="s">
        <v>4934</v>
      </c>
      <c r="AK172" s="111">
        <v>105000</v>
      </c>
      <c r="AL172" s="97">
        <v>4</v>
      </c>
      <c r="AM172" s="20">
        <f t="shared" si="45"/>
        <v>947</v>
      </c>
      <c r="AN172" s="115">
        <f t="shared" si="48"/>
        <v>99435000</v>
      </c>
      <c r="AO172" s="20"/>
    </row>
    <row r="173" spans="7:44">
      <c r="G173" s="205" t="s">
        <v>5492</v>
      </c>
      <c r="H173" s="111">
        <v>17049271.032000002</v>
      </c>
      <c r="I173" s="94"/>
      <c r="O173" s="112"/>
      <c r="P173" s="112"/>
      <c r="Q173" s="112"/>
      <c r="R173" s="205" t="s">
        <v>8</v>
      </c>
      <c r="S173" s="205" t="s">
        <v>4406</v>
      </c>
      <c r="T173" s="205"/>
      <c r="U173" s="326" t="s">
        <v>4581</v>
      </c>
      <c r="V173" s="326">
        <v>12438</v>
      </c>
      <c r="W173" s="90">
        <v>241.20465999999999</v>
      </c>
      <c r="X173" s="90">
        <f t="shared" si="49"/>
        <v>3000103.5610799999</v>
      </c>
      <c r="Y173" s="89" t="s">
        <v>4406</v>
      </c>
      <c r="AI173" s="97">
        <v>153</v>
      </c>
      <c r="AJ173" s="111" t="s">
        <v>4938</v>
      </c>
      <c r="AK173" s="111">
        <v>5000000</v>
      </c>
      <c r="AL173" s="97">
        <v>1</v>
      </c>
      <c r="AM173" s="20">
        <f t="shared" si="45"/>
        <v>943</v>
      </c>
      <c r="AN173" s="115">
        <f t="shared" si="48"/>
        <v>4715000000</v>
      </c>
      <c r="AO173" s="20"/>
    </row>
    <row r="174" spans="7:44">
      <c r="G174" s="205" t="s">
        <v>5495</v>
      </c>
      <c r="H174" s="111">
        <v>6829998</v>
      </c>
      <c r="I174" s="94"/>
      <c r="O174" s="112"/>
      <c r="P174" s="112"/>
      <c r="Q174" s="112"/>
      <c r="R174" s="205"/>
      <c r="S174" s="71" t="s">
        <v>180</v>
      </c>
      <c r="T174" s="205" t="s">
        <v>267</v>
      </c>
      <c r="U174" s="166" t="s">
        <v>4590</v>
      </c>
      <c r="V174" s="166">
        <v>27363</v>
      </c>
      <c r="W174" s="111">
        <v>239.3886</v>
      </c>
      <c r="X174" s="111">
        <f t="shared" si="49"/>
        <v>6550390.2617999995</v>
      </c>
      <c r="Y174" s="97" t="s">
        <v>743</v>
      </c>
      <c r="AI174" s="97">
        <v>154</v>
      </c>
      <c r="AJ174" s="111" t="s">
        <v>4939</v>
      </c>
      <c r="AK174" s="111">
        <v>2500000</v>
      </c>
      <c r="AL174" s="97">
        <v>2</v>
      </c>
      <c r="AM174" s="20">
        <f t="shared" si="45"/>
        <v>942</v>
      </c>
      <c r="AN174" s="115">
        <f t="shared" si="48"/>
        <v>2355000000</v>
      </c>
      <c r="AO174" s="20"/>
    </row>
    <row r="175" spans="7:44">
      <c r="G175" s="205" t="s">
        <v>4209</v>
      </c>
      <c r="H175" s="111">
        <v>6982608.8207999999</v>
      </c>
      <c r="I175" s="94"/>
      <c r="O175" s="112"/>
      <c r="P175" s="112"/>
      <c r="Q175" s="112"/>
      <c r="R175" s="205"/>
      <c r="S175" s="205" t="s">
        <v>4399</v>
      </c>
      <c r="T175" s="111">
        <v>3000000</v>
      </c>
      <c r="U175" s="166" t="s">
        <v>4590</v>
      </c>
      <c r="V175" s="166">
        <v>27363</v>
      </c>
      <c r="W175" s="111">
        <v>239.3886</v>
      </c>
      <c r="X175" s="111">
        <f t="shared" si="49"/>
        <v>6550390.2617999995</v>
      </c>
      <c r="Y175" s="97" t="s">
        <v>452</v>
      </c>
      <c r="AI175" s="247">
        <v>155</v>
      </c>
      <c r="AJ175" s="243" t="s">
        <v>4945</v>
      </c>
      <c r="AK175" s="243">
        <v>-50000000</v>
      </c>
      <c r="AL175" s="247">
        <v>7</v>
      </c>
      <c r="AM175" s="247">
        <f t="shared" si="45"/>
        <v>940</v>
      </c>
      <c r="AN175" s="243">
        <f t="shared" si="48"/>
        <v>-47000000000</v>
      </c>
      <c r="AO175" s="247" t="s">
        <v>4953</v>
      </c>
    </row>
    <row r="176" spans="7:44">
      <c r="G176" s="205" t="s">
        <v>5515</v>
      </c>
      <c r="H176" s="111">
        <v>7510131.0216000006</v>
      </c>
      <c r="I176" s="94"/>
      <c r="P176" s="112"/>
      <c r="Q176" s="112"/>
      <c r="R176" s="205"/>
      <c r="S176" s="205" t="s">
        <v>4442</v>
      </c>
      <c r="T176" s="111">
        <v>2000000</v>
      </c>
      <c r="U176" s="203" t="s">
        <v>4592</v>
      </c>
      <c r="V176" s="203">
        <v>27437</v>
      </c>
      <c r="W176" s="111">
        <v>242.4015</v>
      </c>
      <c r="X176" s="111">
        <f t="shared" si="49"/>
        <v>6650769.9555000002</v>
      </c>
      <c r="Y176" s="97" t="s">
        <v>743</v>
      </c>
      <c r="AI176" s="97">
        <v>156</v>
      </c>
      <c r="AJ176" s="111" t="s">
        <v>4951</v>
      </c>
      <c r="AK176" s="111">
        <v>10000000</v>
      </c>
      <c r="AL176" s="97">
        <v>12</v>
      </c>
      <c r="AM176" s="20">
        <f t="shared" si="45"/>
        <v>933</v>
      </c>
      <c r="AN176" s="115">
        <f t="shared" si="48"/>
        <v>9330000000</v>
      </c>
      <c r="AO176" s="20" t="s">
        <v>4668</v>
      </c>
    </row>
    <row r="177" spans="5:44">
      <c r="G177" s="205" t="s">
        <v>5521</v>
      </c>
      <c r="H177" s="111">
        <v>10397191</v>
      </c>
      <c r="J177" t="s">
        <v>25</v>
      </c>
      <c r="O177" s="112"/>
      <c r="P177" s="112"/>
      <c r="Q177" s="112"/>
      <c r="R177" s="205"/>
      <c r="S177" s="205" t="s">
        <v>4450</v>
      </c>
      <c r="T177" s="111">
        <v>1000000</v>
      </c>
      <c r="U177" s="203" t="s">
        <v>4592</v>
      </c>
      <c r="V177" s="203">
        <v>29104</v>
      </c>
      <c r="W177" s="111">
        <v>242.4015</v>
      </c>
      <c r="X177" s="111">
        <f t="shared" si="49"/>
        <v>7054853.2560000001</v>
      </c>
      <c r="Y177" s="97" t="s">
        <v>452</v>
      </c>
      <c r="AI177" s="97">
        <v>157</v>
      </c>
      <c r="AJ177" s="111" t="s">
        <v>4958</v>
      </c>
      <c r="AK177" s="111">
        <v>-16266000</v>
      </c>
      <c r="AL177" s="97">
        <v>1</v>
      </c>
      <c r="AM177" s="20">
        <f t="shared" si="45"/>
        <v>921</v>
      </c>
      <c r="AN177" s="115">
        <f t="shared" si="48"/>
        <v>-14980986000</v>
      </c>
      <c r="AO177" s="20" t="s">
        <v>4966</v>
      </c>
      <c r="AR177" t="s">
        <v>25</v>
      </c>
    </row>
    <row r="178" spans="5:44">
      <c r="G178" s="205" t="s">
        <v>5530</v>
      </c>
      <c r="H178" s="111">
        <v>195059.35799999998</v>
      </c>
      <c r="J178" t="s">
        <v>25</v>
      </c>
      <c r="O178" s="112"/>
      <c r="P178" s="112"/>
      <c r="Q178" s="112"/>
      <c r="R178" s="205"/>
      <c r="S178" s="205" t="s">
        <v>4454</v>
      </c>
      <c r="T178" s="111">
        <v>2000000</v>
      </c>
      <c r="U178" s="205" t="s">
        <v>4605</v>
      </c>
      <c r="V178" s="205">
        <v>8991</v>
      </c>
      <c r="W178" s="111">
        <v>238.64867000000001</v>
      </c>
      <c r="X178" s="111">
        <f t="shared" si="49"/>
        <v>2145690.19197</v>
      </c>
      <c r="Y178" s="97" t="s">
        <v>743</v>
      </c>
      <c r="AI178" s="97">
        <v>158</v>
      </c>
      <c r="AJ178" s="111" t="s">
        <v>4967</v>
      </c>
      <c r="AK178" s="111">
        <v>1000000</v>
      </c>
      <c r="AL178" s="97">
        <v>6</v>
      </c>
      <c r="AM178" s="20">
        <f>AM179+AL178</f>
        <v>920</v>
      </c>
      <c r="AN178" s="115">
        <f>AK178*AM178</f>
        <v>920000000</v>
      </c>
      <c r="AO178" s="20"/>
    </row>
    <row r="179" spans="5:44">
      <c r="G179" s="205" t="s">
        <v>5535</v>
      </c>
      <c r="H179" s="111">
        <v>744082</v>
      </c>
      <c r="P179" s="112"/>
      <c r="Q179" s="112"/>
      <c r="R179" s="205"/>
      <c r="S179" s="205" t="s">
        <v>977</v>
      </c>
      <c r="T179" s="111">
        <v>3000000</v>
      </c>
      <c r="U179" s="205" t="s">
        <v>4605</v>
      </c>
      <c r="V179" s="205">
        <v>8991</v>
      </c>
      <c r="W179" s="111">
        <v>238.64867000000001</v>
      </c>
      <c r="X179" s="111">
        <f t="shared" si="49"/>
        <v>2145690.19197</v>
      </c>
      <c r="Y179" s="97" t="s">
        <v>452</v>
      </c>
      <c r="AI179" s="97">
        <v>159</v>
      </c>
      <c r="AJ179" s="111" t="s">
        <v>4975</v>
      </c>
      <c r="AK179" s="111">
        <v>40000</v>
      </c>
      <c r="AL179" s="97">
        <v>5</v>
      </c>
      <c r="AM179" s="20">
        <f>AM180+AL179</f>
        <v>914</v>
      </c>
      <c r="AN179" s="115">
        <f>AK179*AM179</f>
        <v>36560000</v>
      </c>
      <c r="AO179" s="20"/>
    </row>
    <row r="180" spans="5:44">
      <c r="G180" s="205" t="s">
        <v>5537</v>
      </c>
      <c r="H180" s="111">
        <v>920308.446</v>
      </c>
      <c r="K180" t="s">
        <v>25</v>
      </c>
      <c r="Q180" s="112"/>
      <c r="R180" s="205"/>
      <c r="S180" s="205" t="s">
        <v>4581</v>
      </c>
      <c r="T180" s="111">
        <v>3000000</v>
      </c>
      <c r="U180" s="205" t="s">
        <v>4616</v>
      </c>
      <c r="V180" s="205">
        <v>18170</v>
      </c>
      <c r="W180" s="111">
        <v>240.48475999999999</v>
      </c>
      <c r="X180" s="111">
        <f t="shared" si="49"/>
        <v>4369608.0892000003</v>
      </c>
      <c r="Y180" s="97" t="s">
        <v>743</v>
      </c>
      <c r="AI180" s="97">
        <v>160</v>
      </c>
      <c r="AJ180" s="111" t="s">
        <v>4983</v>
      </c>
      <c r="AK180" s="111">
        <v>120000</v>
      </c>
      <c r="AL180" s="97">
        <v>6</v>
      </c>
      <c r="AM180" s="20">
        <f>AM181+AL180</f>
        <v>909</v>
      </c>
      <c r="AN180" s="115">
        <f>AK180*AM180</f>
        <v>109080000</v>
      </c>
      <c r="AO180" s="20"/>
    </row>
    <row r="181" spans="5:44">
      <c r="G181" s="205" t="s">
        <v>5538</v>
      </c>
      <c r="H181" s="111">
        <v>4635809.8416840006</v>
      </c>
      <c r="J181" t="s">
        <v>25</v>
      </c>
      <c r="P181" s="112"/>
      <c r="Q181" s="112"/>
      <c r="R181" s="205" t="s">
        <v>4742</v>
      </c>
      <c r="S181" s="205" t="s">
        <v>4737</v>
      </c>
      <c r="T181" s="111">
        <v>-800000</v>
      </c>
      <c r="U181" s="205" t="s">
        <v>4616</v>
      </c>
      <c r="V181" s="205">
        <v>18170</v>
      </c>
      <c r="W181" s="111">
        <v>240.48475999999999</v>
      </c>
      <c r="X181" s="111">
        <f t="shared" si="49"/>
        <v>4369608.0892000003</v>
      </c>
      <c r="Y181" s="97" t="s">
        <v>452</v>
      </c>
      <c r="AI181" s="97">
        <v>161</v>
      </c>
      <c r="AJ181" s="111" t="s">
        <v>4980</v>
      </c>
      <c r="AK181" s="111">
        <v>249000</v>
      </c>
      <c r="AL181" s="97">
        <v>9</v>
      </c>
      <c r="AM181" s="20">
        <f>AM182+AL181</f>
        <v>903</v>
      </c>
      <c r="AN181" s="115">
        <f>AK181*AM181</f>
        <v>224847000</v>
      </c>
      <c r="AO181" s="20"/>
    </row>
    <row r="182" spans="5:44">
      <c r="E182" t="s">
        <v>25</v>
      </c>
      <c r="G182" s="205" t="s">
        <v>5567</v>
      </c>
      <c r="H182" s="111">
        <v>58508002.009000003</v>
      </c>
      <c r="J182" t="s">
        <v>25</v>
      </c>
      <c r="P182" s="112"/>
      <c r="Q182" s="112"/>
      <c r="R182" s="205" t="s">
        <v>4743</v>
      </c>
      <c r="S182" s="205" t="s">
        <v>4737</v>
      </c>
      <c r="T182" s="111">
        <v>-900000</v>
      </c>
      <c r="U182" s="205" t="s">
        <v>4618</v>
      </c>
      <c r="V182" s="205">
        <v>36797</v>
      </c>
      <c r="W182" s="111">
        <v>239.0822</v>
      </c>
      <c r="X182" s="111">
        <f t="shared" si="49"/>
        <v>8797507.7134000007</v>
      </c>
      <c r="Y182" s="97" t="s">
        <v>743</v>
      </c>
      <c r="AI182" s="97">
        <v>162</v>
      </c>
      <c r="AJ182" s="111" t="s">
        <v>5005</v>
      </c>
      <c r="AK182" s="111">
        <v>65000</v>
      </c>
      <c r="AL182" s="97">
        <v>7</v>
      </c>
      <c r="AM182" s="20">
        <f>AM183+AL182</f>
        <v>894</v>
      </c>
      <c r="AN182" s="115">
        <f>AK182*AM182</f>
        <v>58110000</v>
      </c>
      <c r="AO182" s="20"/>
    </row>
    <row r="183" spans="5:44">
      <c r="G183" s="205" t="s">
        <v>5569</v>
      </c>
      <c r="H183" s="111">
        <v>2245515.5410799999</v>
      </c>
      <c r="P183" s="112"/>
      <c r="Q183" s="112"/>
      <c r="R183" s="205" t="s">
        <v>4743</v>
      </c>
      <c r="S183" s="205" t="s">
        <v>964</v>
      </c>
      <c r="T183" s="111">
        <v>-1100000</v>
      </c>
      <c r="U183" s="205" t="s">
        <v>4618</v>
      </c>
      <c r="V183" s="205">
        <v>36797</v>
      </c>
      <c r="W183" s="111">
        <v>239.0822</v>
      </c>
      <c r="X183" s="111">
        <f t="shared" si="49"/>
        <v>8797507.7134000007</v>
      </c>
      <c r="Y183" s="97" t="s">
        <v>452</v>
      </c>
      <c r="AA183" t="s">
        <v>25</v>
      </c>
      <c r="AI183" s="97">
        <v>163</v>
      </c>
      <c r="AJ183" s="111" t="s">
        <v>5014</v>
      </c>
      <c r="AK183" s="111">
        <v>-312598</v>
      </c>
      <c r="AL183" s="97">
        <v>0</v>
      </c>
      <c r="AM183" s="20">
        <f t="shared" ref="AM183:AM190" si="52">AM184+AL183</f>
        <v>887</v>
      </c>
      <c r="AN183" s="115">
        <f t="shared" ref="AN183:AN190" si="53">AK183*AM183</f>
        <v>-277274426</v>
      </c>
      <c r="AO183" s="20"/>
      <c r="AP183" t="s">
        <v>25</v>
      </c>
      <c r="AR183" t="s">
        <v>25</v>
      </c>
    </row>
    <row r="184" spans="5:44">
      <c r="G184" s="205" t="s">
        <v>5571</v>
      </c>
      <c r="H184" s="111">
        <v>18404699.3442</v>
      </c>
      <c r="P184" s="112"/>
      <c r="Q184" s="112"/>
      <c r="R184" s="188" t="s">
        <v>1069</v>
      </c>
      <c r="S184" s="188" t="s">
        <v>4765</v>
      </c>
      <c r="T184" s="192">
        <v>30000000</v>
      </c>
      <c r="U184" s="205" t="s">
        <v>4627</v>
      </c>
      <c r="V184" s="205">
        <v>28066</v>
      </c>
      <c r="W184" s="111">
        <v>237.56970000000001</v>
      </c>
      <c r="X184" s="111">
        <f t="shared" si="49"/>
        <v>6667631.2002000008</v>
      </c>
      <c r="Y184" s="97" t="s">
        <v>743</v>
      </c>
      <c r="AC184" t="s">
        <v>25</v>
      </c>
      <c r="AI184" s="97">
        <v>164</v>
      </c>
      <c r="AJ184" s="111" t="s">
        <v>5014</v>
      </c>
      <c r="AK184" s="111">
        <v>50000</v>
      </c>
      <c r="AL184" s="97">
        <v>6</v>
      </c>
      <c r="AM184" s="20">
        <f t="shared" si="52"/>
        <v>887</v>
      </c>
      <c r="AN184" s="115">
        <f t="shared" si="53"/>
        <v>44350000</v>
      </c>
      <c r="AO184" s="20"/>
    </row>
    <row r="185" spans="5:44">
      <c r="G185" s="205" t="s">
        <v>5574</v>
      </c>
      <c r="H185" s="111">
        <v>2264658.5922190002</v>
      </c>
      <c r="J185" t="s">
        <v>25</v>
      </c>
      <c r="P185" s="112"/>
      <c r="Q185" s="112"/>
      <c r="R185" s="19" t="s">
        <v>4839</v>
      </c>
      <c r="S185" s="19" t="s">
        <v>4837</v>
      </c>
      <c r="T185" s="115">
        <v>2000000</v>
      </c>
      <c r="U185" s="205" t="s">
        <v>4627</v>
      </c>
      <c r="V185" s="205">
        <v>28066</v>
      </c>
      <c r="W185" s="111">
        <v>237.56970000000001</v>
      </c>
      <c r="X185" s="111">
        <f t="shared" si="49"/>
        <v>6667631.2002000008</v>
      </c>
      <c r="Y185" s="97" t="s">
        <v>452</v>
      </c>
      <c r="Z185" t="s">
        <v>25</v>
      </c>
      <c r="AI185" s="97">
        <v>165</v>
      </c>
      <c r="AJ185" s="111" t="s">
        <v>5024</v>
      </c>
      <c r="AK185" s="111">
        <v>-200000</v>
      </c>
      <c r="AL185" s="97">
        <v>0</v>
      </c>
      <c r="AM185" s="20">
        <f t="shared" si="52"/>
        <v>881</v>
      </c>
      <c r="AN185" s="115">
        <f t="shared" si="53"/>
        <v>-176200000</v>
      </c>
      <c r="AO185" s="20" t="s">
        <v>5025</v>
      </c>
    </row>
    <row r="186" spans="5:44">
      <c r="G186" s="205" t="s">
        <v>5576</v>
      </c>
      <c r="H186" s="111">
        <v>22877413.789960001</v>
      </c>
      <c r="J186" t="s">
        <v>25</v>
      </c>
      <c r="K186" t="s">
        <v>25</v>
      </c>
      <c r="P186" s="112"/>
      <c r="Q186" s="112"/>
      <c r="R186" s="187" t="s">
        <v>4860</v>
      </c>
      <c r="S186" s="187" t="s">
        <v>4859</v>
      </c>
      <c r="T186" s="186">
        <v>480105</v>
      </c>
      <c r="U186" s="205" t="s">
        <v>3666</v>
      </c>
      <c r="V186" s="205">
        <v>37457</v>
      </c>
      <c r="W186" s="111">
        <v>239.77</v>
      </c>
      <c r="X186" s="111">
        <f t="shared" si="49"/>
        <v>8981064.8900000006</v>
      </c>
      <c r="Y186" s="97" t="s">
        <v>743</v>
      </c>
      <c r="AI186" s="97">
        <v>166</v>
      </c>
      <c r="AJ186" s="111" t="s">
        <v>5024</v>
      </c>
      <c r="AK186" s="111">
        <v>200000</v>
      </c>
      <c r="AL186" s="97">
        <v>3</v>
      </c>
      <c r="AM186" s="20">
        <f t="shared" si="52"/>
        <v>881</v>
      </c>
      <c r="AN186" s="115">
        <f t="shared" si="53"/>
        <v>176200000</v>
      </c>
      <c r="AO186" s="20"/>
      <c r="AR186" t="s">
        <v>25</v>
      </c>
    </row>
    <row r="187" spans="5:44">
      <c r="G187" s="205" t="s">
        <v>5579</v>
      </c>
      <c r="H187" s="111">
        <v>2362539.4373280001</v>
      </c>
      <c r="J187" t="s">
        <v>25</v>
      </c>
      <c r="P187" s="112"/>
      <c r="Q187" s="112"/>
      <c r="R187" s="187"/>
      <c r="S187" s="187" t="s">
        <v>4900</v>
      </c>
      <c r="T187" s="186">
        <v>30500000</v>
      </c>
      <c r="U187" s="205" t="s">
        <v>3666</v>
      </c>
      <c r="V187" s="205">
        <v>37457</v>
      </c>
      <c r="W187" s="111">
        <v>239.77</v>
      </c>
      <c r="X187" s="111">
        <f t="shared" si="49"/>
        <v>8981064.8900000006</v>
      </c>
      <c r="Y187" s="97" t="s">
        <v>452</v>
      </c>
      <c r="Z187" s="94" t="s">
        <v>25</v>
      </c>
      <c r="AI187" s="97">
        <v>167</v>
      </c>
      <c r="AJ187" s="111" t="s">
        <v>5031</v>
      </c>
      <c r="AK187" s="111">
        <v>200000</v>
      </c>
      <c r="AL187" s="97">
        <v>3</v>
      </c>
      <c r="AM187" s="20">
        <f t="shared" si="52"/>
        <v>878</v>
      </c>
      <c r="AN187" s="115">
        <f t="shared" si="53"/>
        <v>175600000</v>
      </c>
      <c r="AO187" s="20"/>
    </row>
    <row r="188" spans="5:44">
      <c r="G188" s="205" t="s">
        <v>5580</v>
      </c>
      <c r="H188" s="111">
        <v>16042676.656608</v>
      </c>
      <c r="P188" s="112"/>
      <c r="Q188" s="112"/>
      <c r="R188" s="19" t="s">
        <v>4928</v>
      </c>
      <c r="S188" s="19" t="s">
        <v>4923</v>
      </c>
      <c r="T188" s="115">
        <v>-400000</v>
      </c>
      <c r="U188" s="205" t="s">
        <v>4639</v>
      </c>
      <c r="V188" s="205">
        <v>38412</v>
      </c>
      <c r="W188" s="111">
        <v>239.03</v>
      </c>
      <c r="X188" s="111">
        <f t="shared" si="49"/>
        <v>9181620.3599999994</v>
      </c>
      <c r="Y188" s="97" t="s">
        <v>743</v>
      </c>
      <c r="Z188" t="s">
        <v>25</v>
      </c>
      <c r="AI188" s="97">
        <v>168</v>
      </c>
      <c r="AJ188" s="111" t="s">
        <v>5034</v>
      </c>
      <c r="AK188" s="111">
        <v>30000</v>
      </c>
      <c r="AL188" s="97">
        <v>7</v>
      </c>
      <c r="AM188" s="20">
        <f t="shared" si="52"/>
        <v>875</v>
      </c>
      <c r="AN188" s="115">
        <f t="shared" si="53"/>
        <v>26250000</v>
      </c>
      <c r="AO188" s="20"/>
    </row>
    <row r="189" spans="5:44">
      <c r="G189" s="205" t="s">
        <v>5581</v>
      </c>
      <c r="H189" s="111">
        <v>18403291.448284</v>
      </c>
      <c r="P189" s="112"/>
      <c r="Q189" s="112"/>
      <c r="R189" s="187" t="s">
        <v>5037</v>
      </c>
      <c r="S189" s="187" t="s">
        <v>4958</v>
      </c>
      <c r="T189" s="186">
        <v>-349550</v>
      </c>
      <c r="U189" s="205" t="s">
        <v>4639</v>
      </c>
      <c r="V189" s="205">
        <v>38412</v>
      </c>
      <c r="W189" s="111">
        <v>239.03</v>
      </c>
      <c r="X189" s="111">
        <f t="shared" si="49"/>
        <v>9181620.3599999994</v>
      </c>
      <c r="Y189" s="97" t="s">
        <v>452</v>
      </c>
      <c r="AI189" s="97">
        <v>169</v>
      </c>
      <c r="AJ189" s="111" t="s">
        <v>4993</v>
      </c>
      <c r="AK189" s="111">
        <v>-10000000</v>
      </c>
      <c r="AL189" s="97">
        <v>0</v>
      </c>
      <c r="AM189" s="20">
        <f t="shared" si="52"/>
        <v>868</v>
      </c>
      <c r="AN189" s="115">
        <f t="shared" si="53"/>
        <v>-8680000000</v>
      </c>
      <c r="AO189" s="20" t="s">
        <v>4953</v>
      </c>
    </row>
    <row r="190" spans="5:44">
      <c r="G190" s="205" t="s">
        <v>5584</v>
      </c>
      <c r="H190" s="111">
        <v>10561447.246918</v>
      </c>
      <c r="O190" s="112"/>
      <c r="P190" s="112"/>
      <c r="Q190" s="112"/>
      <c r="R190" s="19" t="s">
        <v>4928</v>
      </c>
      <c r="S190" s="19" t="s">
        <v>5098</v>
      </c>
      <c r="T190" s="115">
        <v>-200000</v>
      </c>
      <c r="U190" s="205" t="s">
        <v>4642</v>
      </c>
      <c r="V190" s="205">
        <v>49555</v>
      </c>
      <c r="W190" s="111">
        <v>238.345</v>
      </c>
      <c r="X190" s="111">
        <f t="shared" si="49"/>
        <v>11811186.475</v>
      </c>
      <c r="Y190" s="97" t="s">
        <v>743</v>
      </c>
      <c r="AI190" s="97">
        <v>170</v>
      </c>
      <c r="AJ190" s="111" t="s">
        <v>4993</v>
      </c>
      <c r="AK190" s="111">
        <v>6000000</v>
      </c>
      <c r="AL190" s="97">
        <v>8</v>
      </c>
      <c r="AM190" s="20">
        <f t="shared" si="52"/>
        <v>868</v>
      </c>
      <c r="AN190" s="115">
        <f t="shared" si="53"/>
        <v>5208000000</v>
      </c>
      <c r="AO190" s="20"/>
      <c r="AQ190" t="s">
        <v>25</v>
      </c>
    </row>
    <row r="191" spans="5:44">
      <c r="G191" s="205" t="s">
        <v>5585</v>
      </c>
      <c r="H191" s="111">
        <v>1226811.9176660001</v>
      </c>
      <c r="J191" t="s">
        <v>25</v>
      </c>
      <c r="K191" t="s">
        <v>25</v>
      </c>
      <c r="O191" t="s">
        <v>25</v>
      </c>
      <c r="P191" s="112"/>
      <c r="Q191" s="112"/>
      <c r="R191" s="19" t="s">
        <v>4928</v>
      </c>
      <c r="S191" s="19" t="s">
        <v>5130</v>
      </c>
      <c r="T191" s="115">
        <v>-122000</v>
      </c>
      <c r="U191" s="205" t="s">
        <v>4642</v>
      </c>
      <c r="V191" s="205">
        <v>49555</v>
      </c>
      <c r="W191" s="111">
        <v>238.345</v>
      </c>
      <c r="X191" s="111">
        <f t="shared" si="49"/>
        <v>11811186.475</v>
      </c>
      <c r="Y191" s="97" t="s">
        <v>452</v>
      </c>
      <c r="AI191" s="97">
        <v>171</v>
      </c>
      <c r="AJ191" s="111" t="s">
        <v>5058</v>
      </c>
      <c r="AK191" s="111">
        <v>150000</v>
      </c>
      <c r="AL191" s="97">
        <v>7</v>
      </c>
      <c r="AM191" s="20">
        <f>AM192+AL191</f>
        <v>860</v>
      </c>
      <c r="AN191" s="115">
        <f>AK191*AM191</f>
        <v>129000000</v>
      </c>
      <c r="AO191" s="20"/>
    </row>
    <row r="192" spans="5:44">
      <c r="G192" s="205" t="s">
        <v>5586</v>
      </c>
      <c r="H192" s="111">
        <v>39373959.190266006</v>
      </c>
      <c r="J192" t="s">
        <v>25</v>
      </c>
      <c r="P192" s="112"/>
      <c r="Q192" s="112"/>
      <c r="R192" s="19" t="s">
        <v>4928</v>
      </c>
      <c r="S192" s="19" t="s">
        <v>5138</v>
      </c>
      <c r="T192" s="115">
        <v>-700000</v>
      </c>
      <c r="U192" s="205" t="s">
        <v>4654</v>
      </c>
      <c r="V192" s="205">
        <v>160187</v>
      </c>
      <c r="W192" s="111">
        <v>257.49799999999999</v>
      </c>
      <c r="X192" s="111">
        <f t="shared" si="49"/>
        <v>41247832.126000002</v>
      </c>
      <c r="Y192" s="97" t="s">
        <v>743</v>
      </c>
      <c r="Z192" t="s">
        <v>25</v>
      </c>
      <c r="AI192" s="97">
        <v>172</v>
      </c>
      <c r="AJ192" s="111" t="s">
        <v>5091</v>
      </c>
      <c r="AK192" s="111">
        <v>400000</v>
      </c>
      <c r="AL192" s="97">
        <v>1</v>
      </c>
      <c r="AM192" s="20">
        <f>AM193+AL192</f>
        <v>853</v>
      </c>
      <c r="AN192" s="115">
        <f>AK192*AM192</f>
        <v>341200000</v>
      </c>
      <c r="AO192" s="20"/>
    </row>
    <row r="193" spans="7:46">
      <c r="G193" s="205" t="s">
        <v>5591</v>
      </c>
      <c r="H193" s="111">
        <v>27703487.063980002</v>
      </c>
      <c r="O193" t="s">
        <v>25</v>
      </c>
      <c r="P193" s="112"/>
      <c r="Q193" s="112"/>
      <c r="R193" s="19" t="s">
        <v>4928</v>
      </c>
      <c r="S193" s="19" t="s">
        <v>5148</v>
      </c>
      <c r="T193" s="115">
        <v>-60000</v>
      </c>
      <c r="U193" s="205" t="s">
        <v>4654</v>
      </c>
      <c r="V193" s="205">
        <v>160187</v>
      </c>
      <c r="W193" s="111">
        <v>257.49799999999999</v>
      </c>
      <c r="X193" s="111">
        <f t="shared" si="49"/>
        <v>41247832.126000002</v>
      </c>
      <c r="Y193" s="97" t="s">
        <v>452</v>
      </c>
      <c r="AB193" t="s">
        <v>25</v>
      </c>
      <c r="AI193" s="97">
        <v>173</v>
      </c>
      <c r="AJ193" s="111" t="s">
        <v>5094</v>
      </c>
      <c r="AK193" s="111">
        <v>-100000</v>
      </c>
      <c r="AL193" s="97">
        <v>1</v>
      </c>
      <c r="AM193" s="20">
        <f>AM194+AL193</f>
        <v>852</v>
      </c>
      <c r="AN193" s="115">
        <f>AK193*AM193</f>
        <v>-85200000</v>
      </c>
      <c r="AO193" s="20"/>
    </row>
    <row r="194" spans="7:46">
      <c r="G194" s="205" t="s">
        <v>5592</v>
      </c>
      <c r="H194" s="111">
        <v>8738896.6890719999</v>
      </c>
      <c r="P194" s="112"/>
      <c r="R194" s="19" t="s">
        <v>4406</v>
      </c>
      <c r="S194" s="19" t="s">
        <v>5207</v>
      </c>
      <c r="T194" s="115">
        <v>700000</v>
      </c>
      <c r="U194" s="205" t="s">
        <v>4661</v>
      </c>
      <c r="V194" s="205">
        <v>144401</v>
      </c>
      <c r="W194" s="111">
        <v>258.5061</v>
      </c>
      <c r="X194" s="111">
        <f t="shared" si="49"/>
        <v>37328539.346100003</v>
      </c>
      <c r="Y194" s="97" t="s">
        <v>743</v>
      </c>
      <c r="AA194" t="s">
        <v>25</v>
      </c>
      <c r="AI194" s="97">
        <v>174</v>
      </c>
      <c r="AJ194" s="111" t="s">
        <v>5098</v>
      </c>
      <c r="AK194" s="111">
        <v>10000000</v>
      </c>
      <c r="AL194" s="97">
        <v>1</v>
      </c>
      <c r="AM194" s="20">
        <f>AM195+AL194</f>
        <v>851</v>
      </c>
      <c r="AN194" s="115">
        <f>AK194*AM194</f>
        <v>8510000000</v>
      </c>
      <c r="AO194" s="20" t="s">
        <v>4668</v>
      </c>
      <c r="AT194" t="s">
        <v>25</v>
      </c>
    </row>
    <row r="195" spans="7:46">
      <c r="G195" s="205" t="s">
        <v>4182</v>
      </c>
      <c r="H195" s="111">
        <v>348201.66738</v>
      </c>
      <c r="P195" s="112"/>
      <c r="R195" s="187" t="s">
        <v>1069</v>
      </c>
      <c r="S195" s="187" t="s">
        <v>5226</v>
      </c>
      <c r="T195" s="186">
        <v>40000000</v>
      </c>
      <c r="U195" s="205" t="s">
        <v>4661</v>
      </c>
      <c r="V195" s="205">
        <v>144401</v>
      </c>
      <c r="W195" s="111">
        <v>258.5061</v>
      </c>
      <c r="X195" s="111">
        <f t="shared" si="49"/>
        <v>37328539.346100003</v>
      </c>
      <c r="Y195" s="97" t="s">
        <v>452</v>
      </c>
      <c r="AI195" s="97">
        <v>175</v>
      </c>
      <c r="AJ195" s="111" t="s">
        <v>5103</v>
      </c>
      <c r="AK195" s="111">
        <v>-400000</v>
      </c>
      <c r="AL195" s="97">
        <v>6</v>
      </c>
      <c r="AM195" s="20">
        <f t="shared" ref="AM195:AM203" si="54">AM196+AL195</f>
        <v>850</v>
      </c>
      <c r="AN195" s="115">
        <f t="shared" ref="AN195:AN203" si="55">AK195*AM195</f>
        <v>-340000000</v>
      </c>
      <c r="AO195" s="20"/>
    </row>
    <row r="196" spans="7:46">
      <c r="G196" s="205" t="s">
        <v>5594</v>
      </c>
      <c r="H196" s="111">
        <v>4158090.8935679998</v>
      </c>
      <c r="O196" t="s">
        <v>25</v>
      </c>
      <c r="P196" s="112"/>
      <c r="R196" s="19" t="s">
        <v>4406</v>
      </c>
      <c r="S196" s="19" t="s">
        <v>5230</v>
      </c>
      <c r="T196" s="115">
        <v>-800000</v>
      </c>
      <c r="U196" s="166" t="s">
        <v>4667</v>
      </c>
      <c r="V196" s="166">
        <v>196500</v>
      </c>
      <c r="W196" s="111">
        <v>254.452</v>
      </c>
      <c r="X196" s="111">
        <f t="shared" si="49"/>
        <v>49999818</v>
      </c>
      <c r="Y196" s="97" t="s">
        <v>4669</v>
      </c>
      <c r="Z196" t="s">
        <v>25</v>
      </c>
      <c r="AI196" s="97">
        <v>176</v>
      </c>
      <c r="AJ196" s="111" t="s">
        <v>5110</v>
      </c>
      <c r="AK196" s="111">
        <v>1300000</v>
      </c>
      <c r="AL196" s="97">
        <v>0</v>
      </c>
      <c r="AM196" s="20">
        <f t="shared" si="54"/>
        <v>844</v>
      </c>
      <c r="AN196" s="115">
        <f t="shared" si="55"/>
        <v>1097200000</v>
      </c>
      <c r="AO196" s="20"/>
      <c r="AS196" t="s">
        <v>25</v>
      </c>
    </row>
    <row r="197" spans="7:46">
      <c r="G197" s="205" t="s">
        <v>5598</v>
      </c>
      <c r="H197" s="111">
        <v>110770524.97879399</v>
      </c>
      <c r="P197" s="112"/>
      <c r="R197" s="205" t="s">
        <v>4406</v>
      </c>
      <c r="S197" s="205" t="s">
        <v>5312</v>
      </c>
      <c r="T197" s="115">
        <v>700000</v>
      </c>
      <c r="U197" s="205" t="s">
        <v>4667</v>
      </c>
      <c r="V197" s="205">
        <v>2561</v>
      </c>
      <c r="W197" s="111">
        <v>254.536</v>
      </c>
      <c r="X197" s="111">
        <f t="shared" si="49"/>
        <v>651866.696</v>
      </c>
      <c r="Y197" s="97" t="s">
        <v>4670</v>
      </c>
      <c r="AI197" s="97">
        <v>177</v>
      </c>
      <c r="AJ197" s="111" t="s">
        <v>5110</v>
      </c>
      <c r="AK197" s="111">
        <v>230000</v>
      </c>
      <c r="AL197" s="97">
        <v>1</v>
      </c>
      <c r="AM197" s="20">
        <f t="shared" si="54"/>
        <v>844</v>
      </c>
      <c r="AN197" s="115">
        <f t="shared" si="55"/>
        <v>194120000</v>
      </c>
      <c r="AO197" s="20"/>
    </row>
    <row r="198" spans="7:46">
      <c r="G198" s="205" t="s">
        <v>5610</v>
      </c>
      <c r="H198" s="111">
        <v>6684147.0064600008</v>
      </c>
      <c r="J198" t="s">
        <v>25</v>
      </c>
      <c r="Q198" s="112"/>
      <c r="R198" s="187" t="s">
        <v>5328</v>
      </c>
      <c r="S198" s="187" t="s">
        <v>5326</v>
      </c>
      <c r="T198" s="186">
        <v>-26000000</v>
      </c>
      <c r="U198" s="205" t="s">
        <v>4709</v>
      </c>
      <c r="V198" s="205">
        <v>-11795</v>
      </c>
      <c r="W198" s="111">
        <v>254.334</v>
      </c>
      <c r="X198" s="111">
        <f t="shared" si="49"/>
        <v>-2999869.5300000003</v>
      </c>
      <c r="Y198" s="97" t="s">
        <v>4710</v>
      </c>
      <c r="AB198" t="s">
        <v>25</v>
      </c>
      <c r="AI198" s="97">
        <v>178</v>
      </c>
      <c r="AJ198" s="111" t="s">
        <v>5113</v>
      </c>
      <c r="AK198" s="111">
        <v>880000</v>
      </c>
      <c r="AL198" s="97">
        <v>4</v>
      </c>
      <c r="AM198" s="20">
        <f t="shared" si="54"/>
        <v>843</v>
      </c>
      <c r="AN198" s="115">
        <f t="shared" si="55"/>
        <v>741840000</v>
      </c>
      <c r="AO198" s="20"/>
    </row>
    <row r="199" spans="7:46">
      <c r="G199" s="205" t="s">
        <v>5613</v>
      </c>
      <c r="H199" s="111">
        <v>1826535.2307560001</v>
      </c>
      <c r="J199" t="s">
        <v>25</v>
      </c>
      <c r="P199" s="112"/>
      <c r="Q199" s="112"/>
      <c r="R199" s="187" t="s">
        <v>5328</v>
      </c>
      <c r="S199" s="187" t="s">
        <v>5330</v>
      </c>
      <c r="T199" s="186">
        <v>-95900000</v>
      </c>
      <c r="U199" s="205" t="s">
        <v>4709</v>
      </c>
      <c r="V199" s="205">
        <v>11795</v>
      </c>
      <c r="W199" s="111">
        <v>254.334</v>
      </c>
      <c r="X199" s="111">
        <f t="shared" si="49"/>
        <v>2999869.5300000003</v>
      </c>
      <c r="Y199" s="97" t="s">
        <v>4711</v>
      </c>
      <c r="AI199" s="97">
        <v>179</v>
      </c>
      <c r="AJ199" s="111" t="s">
        <v>5117</v>
      </c>
      <c r="AK199" s="111">
        <v>-900000</v>
      </c>
      <c r="AL199" s="97">
        <v>1</v>
      </c>
      <c r="AM199" s="20">
        <f t="shared" si="54"/>
        <v>839</v>
      </c>
      <c r="AN199" s="115">
        <f t="shared" si="55"/>
        <v>-755100000</v>
      </c>
      <c r="AO199" s="20"/>
    </row>
    <row r="200" spans="7:46">
      <c r="G200" s="205" t="s">
        <v>5617</v>
      </c>
      <c r="H200" s="111">
        <v>3577366.94</v>
      </c>
      <c r="Q200" s="112"/>
      <c r="R200" s="187" t="s">
        <v>5328</v>
      </c>
      <c r="S200" s="187" t="s">
        <v>5331</v>
      </c>
      <c r="T200" s="186">
        <v>-28950000</v>
      </c>
      <c r="U200" s="205" t="s">
        <v>4723</v>
      </c>
      <c r="V200" s="205">
        <v>260</v>
      </c>
      <c r="W200" s="111">
        <v>263.19</v>
      </c>
      <c r="X200" s="111">
        <f t="shared" si="49"/>
        <v>68429.399999999994</v>
      </c>
      <c r="Y200" s="97" t="s">
        <v>452</v>
      </c>
      <c r="AI200" s="97">
        <v>180</v>
      </c>
      <c r="AJ200" s="111" t="s">
        <v>975</v>
      </c>
      <c r="AK200" s="111">
        <v>-3500000</v>
      </c>
      <c r="AL200" s="97">
        <v>1</v>
      </c>
      <c r="AM200" s="20">
        <f t="shared" si="54"/>
        <v>838</v>
      </c>
      <c r="AN200" s="115">
        <f t="shared" si="55"/>
        <v>-2933000000</v>
      </c>
      <c r="AO200" s="20"/>
      <c r="AS200" t="s">
        <v>25</v>
      </c>
    </row>
    <row r="201" spans="7:46">
      <c r="G201" s="205" t="s">
        <v>5619</v>
      </c>
      <c r="H201" s="111">
        <v>21239029.173567999</v>
      </c>
      <c r="Q201" s="112"/>
      <c r="R201" s="187" t="s">
        <v>5347</v>
      </c>
      <c r="S201" s="187" t="s">
        <v>5345</v>
      </c>
      <c r="T201" s="186">
        <v>1896188</v>
      </c>
      <c r="U201" s="205" t="s">
        <v>4732</v>
      </c>
      <c r="V201" s="205">
        <v>15257</v>
      </c>
      <c r="W201" s="111">
        <v>262.19018</v>
      </c>
      <c r="X201" s="111">
        <f t="shared" si="49"/>
        <v>4000235.57626</v>
      </c>
      <c r="Y201" s="97" t="s">
        <v>452</v>
      </c>
      <c r="AI201" s="97">
        <v>181</v>
      </c>
      <c r="AJ201" s="111" t="s">
        <v>4253</v>
      </c>
      <c r="AK201" s="111">
        <v>-1600000</v>
      </c>
      <c r="AL201" s="97">
        <v>1</v>
      </c>
      <c r="AM201" s="20">
        <f t="shared" si="54"/>
        <v>837</v>
      </c>
      <c r="AN201" s="115">
        <f t="shared" si="55"/>
        <v>-1339200000</v>
      </c>
      <c r="AO201" s="20"/>
      <c r="AR201" t="s">
        <v>25</v>
      </c>
    </row>
    <row r="202" spans="7:46">
      <c r="G202" s="205" t="s">
        <v>5622</v>
      </c>
      <c r="H202" s="111">
        <v>242957252.40163299</v>
      </c>
      <c r="J202" t="s">
        <v>25</v>
      </c>
      <c r="Q202" s="112"/>
      <c r="R202" s="187" t="s">
        <v>5512</v>
      </c>
      <c r="S202" s="187" t="s">
        <v>4209</v>
      </c>
      <c r="T202" s="186">
        <v>13752871.322800001</v>
      </c>
      <c r="U202" s="205" t="s">
        <v>4732</v>
      </c>
      <c r="V202" s="205">
        <v>8444</v>
      </c>
      <c r="W202" s="111">
        <v>266.43029999999999</v>
      </c>
      <c r="X202" s="111">
        <f t="shared" si="49"/>
        <v>2249737.4531999999</v>
      </c>
      <c r="Y202" s="97" t="s">
        <v>452</v>
      </c>
      <c r="AI202" s="97">
        <v>182</v>
      </c>
      <c r="AJ202" s="111" t="s">
        <v>5122</v>
      </c>
      <c r="AK202" s="111">
        <v>-800000</v>
      </c>
      <c r="AL202" s="97">
        <v>7</v>
      </c>
      <c r="AM202" s="20">
        <f t="shared" si="54"/>
        <v>836</v>
      </c>
      <c r="AN202" s="115">
        <f t="shared" si="55"/>
        <v>-668800000</v>
      </c>
      <c r="AO202" s="20"/>
    </row>
    <row r="203" spans="7:46">
      <c r="G203" s="205" t="s">
        <v>5626</v>
      </c>
      <c r="H203" s="111">
        <v>7357181.2750800001</v>
      </c>
      <c r="Q203" s="112"/>
      <c r="R203" s="19" t="s">
        <v>5524</v>
      </c>
      <c r="S203" s="19" t="s">
        <v>5521</v>
      </c>
      <c r="T203" s="115">
        <v>3123901.3702000002</v>
      </c>
      <c r="U203" s="326" t="s">
        <v>4737</v>
      </c>
      <c r="V203" s="326">
        <v>-6209</v>
      </c>
      <c r="W203" s="90">
        <v>273.79649999999998</v>
      </c>
      <c r="X203" s="90">
        <f t="shared" si="49"/>
        <v>-1700002.4685</v>
      </c>
      <c r="Y203" s="89" t="s">
        <v>6405</v>
      </c>
      <c r="AI203" s="97">
        <v>183</v>
      </c>
      <c r="AJ203" s="111" t="s">
        <v>5130</v>
      </c>
      <c r="AK203" s="111">
        <v>50000</v>
      </c>
      <c r="AL203" s="97">
        <v>2</v>
      </c>
      <c r="AM203" s="20">
        <f t="shared" si="54"/>
        <v>829</v>
      </c>
      <c r="AN203" s="115">
        <f t="shared" si="55"/>
        <v>41450000</v>
      </c>
      <c r="AO203" s="20"/>
    </row>
    <row r="204" spans="7:46">
      <c r="G204" s="205" t="s">
        <v>5628</v>
      </c>
      <c r="H204" s="111">
        <v>14951411.942400001</v>
      </c>
      <c r="J204" t="s">
        <v>25</v>
      </c>
      <c r="P204" s="112"/>
      <c r="Q204" s="112"/>
      <c r="R204" s="187" t="s">
        <v>5840</v>
      </c>
      <c r="S204" s="187" t="s">
        <v>5595</v>
      </c>
      <c r="T204" s="186">
        <v>-322076.40905199997</v>
      </c>
      <c r="U204" s="205" t="s">
        <v>4737</v>
      </c>
      <c r="V204" s="205">
        <v>-8014</v>
      </c>
      <c r="W204" s="111">
        <v>273.79649999999998</v>
      </c>
      <c r="X204" s="111">
        <f t="shared" si="49"/>
        <v>-2194205.1510000001</v>
      </c>
      <c r="Y204" s="97" t="s">
        <v>743</v>
      </c>
      <c r="AI204" s="97">
        <v>184</v>
      </c>
      <c r="AJ204" s="111" t="s">
        <v>5132</v>
      </c>
      <c r="AK204" s="111">
        <v>400000</v>
      </c>
      <c r="AL204" s="97">
        <v>8</v>
      </c>
      <c r="AM204" s="20">
        <f t="shared" ref="AM204:AM213" si="56">AM205+AL204</f>
        <v>827</v>
      </c>
      <c r="AN204" s="115">
        <f t="shared" ref="AN204:AN213" si="57">AK204*AM204</f>
        <v>330800000</v>
      </c>
      <c r="AO204" s="20"/>
      <c r="AS204" t="s">
        <v>25</v>
      </c>
    </row>
    <row r="205" spans="7:46">
      <c r="G205" s="205" t="s">
        <v>5632</v>
      </c>
      <c r="H205" s="111">
        <v>47928209.377011999</v>
      </c>
      <c r="J205" t="s">
        <v>25</v>
      </c>
      <c r="O205" t="s">
        <v>25</v>
      </c>
      <c r="P205" s="112"/>
      <c r="Q205" s="112"/>
      <c r="R205" s="19" t="s">
        <v>4928</v>
      </c>
      <c r="S205" s="19" t="s">
        <v>5595</v>
      </c>
      <c r="T205" s="115">
        <v>-1500000</v>
      </c>
      <c r="U205" s="205" t="s">
        <v>4746</v>
      </c>
      <c r="V205" s="205">
        <v>-9176</v>
      </c>
      <c r="W205" s="111">
        <v>273.79649999999998</v>
      </c>
      <c r="X205" s="111">
        <f t="shared" si="49"/>
        <v>-2512356.6839999999</v>
      </c>
      <c r="Y205" s="97" t="s">
        <v>452</v>
      </c>
      <c r="AI205" s="97">
        <v>185</v>
      </c>
      <c r="AJ205" s="111" t="s">
        <v>5108</v>
      </c>
      <c r="AK205" s="111">
        <v>-10000000</v>
      </c>
      <c r="AL205" s="97">
        <v>0</v>
      </c>
      <c r="AM205" s="20">
        <f t="shared" si="56"/>
        <v>819</v>
      </c>
      <c r="AN205" s="115">
        <f t="shared" si="57"/>
        <v>-8190000000</v>
      </c>
      <c r="AO205" s="20" t="s">
        <v>4953</v>
      </c>
    </row>
    <row r="206" spans="7:46">
      <c r="G206" s="205" t="s">
        <v>5634</v>
      </c>
      <c r="H206" s="111">
        <v>2281595.69937</v>
      </c>
      <c r="P206" s="112"/>
      <c r="R206" s="187" t="s">
        <v>5609</v>
      </c>
      <c r="S206" s="187" t="s">
        <v>5595</v>
      </c>
      <c r="T206" s="186">
        <v>15000000</v>
      </c>
      <c r="U206" s="205" t="s">
        <v>4746</v>
      </c>
      <c r="V206" s="205">
        <v>1087</v>
      </c>
      <c r="W206" s="111">
        <v>273.79649999999998</v>
      </c>
      <c r="X206" s="111">
        <f t="shared" si="49"/>
        <v>297616.79550000001</v>
      </c>
      <c r="Y206" s="97" t="s">
        <v>452</v>
      </c>
      <c r="AI206" s="97">
        <v>186</v>
      </c>
      <c r="AJ206" s="111" t="s">
        <v>5108</v>
      </c>
      <c r="AK206" s="111">
        <v>3000000</v>
      </c>
      <c r="AL206" s="97">
        <v>1</v>
      </c>
      <c r="AM206" s="20">
        <f t="shared" si="56"/>
        <v>819</v>
      </c>
      <c r="AN206" s="115">
        <f t="shared" si="57"/>
        <v>2457000000</v>
      </c>
      <c r="AO206" s="20"/>
    </row>
    <row r="207" spans="7:46">
      <c r="G207" s="205" t="s">
        <v>5636</v>
      </c>
      <c r="H207" s="111">
        <v>2964916.035069</v>
      </c>
      <c r="P207" s="112"/>
      <c r="Q207" s="112"/>
      <c r="R207" s="187" t="s">
        <v>5624</v>
      </c>
      <c r="S207" s="187" t="s">
        <v>5619</v>
      </c>
      <c r="T207" s="186">
        <v>-1500000</v>
      </c>
      <c r="U207" s="326" t="s">
        <v>964</v>
      </c>
      <c r="V207" s="326">
        <v>-4017</v>
      </c>
      <c r="W207" s="90">
        <v>273.79649999999998</v>
      </c>
      <c r="X207" s="90">
        <f t="shared" si="49"/>
        <v>-1099840.5404999999</v>
      </c>
      <c r="Y207" s="89" t="s">
        <v>4406</v>
      </c>
      <c r="AI207" s="97">
        <v>187</v>
      </c>
      <c r="AJ207" s="111" t="s">
        <v>5144</v>
      </c>
      <c r="AK207" s="111">
        <v>500000</v>
      </c>
      <c r="AL207" s="97">
        <v>23</v>
      </c>
      <c r="AM207" s="20">
        <f t="shared" si="56"/>
        <v>818</v>
      </c>
      <c r="AN207" s="115">
        <f t="shared" si="57"/>
        <v>409000000</v>
      </c>
      <c r="AO207" s="20"/>
      <c r="AS207" t="s">
        <v>25</v>
      </c>
    </row>
    <row r="208" spans="7:46">
      <c r="G208" s="205" t="s">
        <v>5637</v>
      </c>
      <c r="H208" s="111">
        <v>6460549.4269619994</v>
      </c>
      <c r="K208" t="s">
        <v>25</v>
      </c>
      <c r="P208" s="112"/>
      <c r="Q208" s="112"/>
      <c r="R208" s="187" t="s">
        <v>5703</v>
      </c>
      <c r="S208" s="187" t="s">
        <v>5701</v>
      </c>
      <c r="T208" s="186">
        <v>-70000</v>
      </c>
      <c r="U208" s="205" t="s">
        <v>964</v>
      </c>
      <c r="V208" s="205">
        <v>4017</v>
      </c>
      <c r="W208" s="111">
        <v>273.79649999999998</v>
      </c>
      <c r="X208" s="111">
        <f t="shared" si="49"/>
        <v>1099840.5404999999</v>
      </c>
      <c r="Y208" s="97" t="s">
        <v>452</v>
      </c>
      <c r="AI208" s="97">
        <v>188</v>
      </c>
      <c r="AJ208" s="111" t="s">
        <v>5165</v>
      </c>
      <c r="AK208" s="111">
        <v>101268</v>
      </c>
      <c r="AL208" s="97">
        <v>1</v>
      </c>
      <c r="AM208" s="20">
        <f t="shared" si="56"/>
        <v>795</v>
      </c>
      <c r="AN208" s="115">
        <f t="shared" si="57"/>
        <v>80508060</v>
      </c>
      <c r="AO208" s="20"/>
      <c r="AS208" t="s">
        <v>25</v>
      </c>
    </row>
    <row r="209" spans="7:47">
      <c r="G209" s="205" t="s">
        <v>5639</v>
      </c>
      <c r="H209" s="111">
        <v>5212319.8968359996</v>
      </c>
      <c r="P209" s="112"/>
      <c r="R209" s="187" t="s">
        <v>5709</v>
      </c>
      <c r="S209" s="187" t="s">
        <v>5707</v>
      </c>
      <c r="T209" s="186">
        <v>1300000</v>
      </c>
      <c r="U209" s="205" t="s">
        <v>4752</v>
      </c>
      <c r="V209" s="205">
        <v>3137</v>
      </c>
      <c r="W209" s="111">
        <v>283.69110000000001</v>
      </c>
      <c r="X209" s="111">
        <f t="shared" si="49"/>
        <v>889938.98070000007</v>
      </c>
      <c r="Y209" s="97" t="s">
        <v>452</v>
      </c>
      <c r="Z209" t="s">
        <v>25</v>
      </c>
      <c r="AI209" s="97">
        <v>189</v>
      </c>
      <c r="AJ209" s="111" t="s">
        <v>5168</v>
      </c>
      <c r="AK209" s="111">
        <v>101000</v>
      </c>
      <c r="AL209" s="97">
        <v>34</v>
      </c>
      <c r="AM209" s="20">
        <f t="shared" si="56"/>
        <v>794</v>
      </c>
      <c r="AN209" s="115">
        <f t="shared" si="57"/>
        <v>80194000</v>
      </c>
      <c r="AO209" s="20"/>
      <c r="AQ209" t="s">
        <v>25</v>
      </c>
      <c r="AU209" s="94" t="s">
        <v>25</v>
      </c>
    </row>
    <row r="210" spans="7:47">
      <c r="G210" s="205" t="s">
        <v>5642</v>
      </c>
      <c r="H210" s="111">
        <v>4524496.4792809999</v>
      </c>
      <c r="J210" t="s">
        <v>25</v>
      </c>
      <c r="P210" s="112"/>
      <c r="Q210" s="112"/>
      <c r="R210" s="187" t="s">
        <v>60</v>
      </c>
      <c r="S210" s="187" t="s">
        <v>5715</v>
      </c>
      <c r="T210" s="186">
        <v>90000000</v>
      </c>
      <c r="U210" s="205" t="s">
        <v>4765</v>
      </c>
      <c r="V210" s="205">
        <v>101933</v>
      </c>
      <c r="W210" s="111">
        <v>294.30973999999998</v>
      </c>
      <c r="X210" s="111">
        <f t="shared" si="49"/>
        <v>29999874.727419998</v>
      </c>
      <c r="Y210" s="97" t="s">
        <v>1069</v>
      </c>
      <c r="Z210" t="s">
        <v>25</v>
      </c>
      <c r="AI210" s="97">
        <v>190</v>
      </c>
      <c r="AJ210" s="111" t="s">
        <v>5193</v>
      </c>
      <c r="AK210" s="111">
        <v>-488602</v>
      </c>
      <c r="AL210" s="97">
        <v>5</v>
      </c>
      <c r="AM210" s="20">
        <f t="shared" si="56"/>
        <v>760</v>
      </c>
      <c r="AN210" s="115">
        <f t="shared" si="57"/>
        <v>-371337520</v>
      </c>
      <c r="AO210" s="20"/>
      <c r="AS210" t="s">
        <v>25</v>
      </c>
    </row>
    <row r="211" spans="7:47">
      <c r="G211" s="205" t="s">
        <v>5644</v>
      </c>
      <c r="H211" s="111">
        <v>22866040.240959998</v>
      </c>
      <c r="P211" s="112"/>
      <c r="Q211" s="112"/>
      <c r="R211" s="187" t="s">
        <v>5800</v>
      </c>
      <c r="S211" s="187" t="s">
        <v>5796</v>
      </c>
      <c r="T211" s="186">
        <v>33832510.64875</v>
      </c>
      <c r="U211" s="205" t="s">
        <v>4772</v>
      </c>
      <c r="V211" s="205">
        <v>3407</v>
      </c>
      <c r="W211" s="111">
        <v>293.43799999999999</v>
      </c>
      <c r="X211" s="111">
        <f t="shared" si="49"/>
        <v>999743.26599999995</v>
      </c>
      <c r="Y211" s="97" t="s">
        <v>452</v>
      </c>
      <c r="AI211" s="97">
        <v>191</v>
      </c>
      <c r="AJ211" s="111" t="s">
        <v>5207</v>
      </c>
      <c r="AK211" s="111">
        <v>360000</v>
      </c>
      <c r="AL211" s="97">
        <v>10</v>
      </c>
      <c r="AM211" s="20">
        <f t="shared" si="56"/>
        <v>755</v>
      </c>
      <c r="AN211" s="115">
        <f t="shared" si="57"/>
        <v>271800000</v>
      </c>
      <c r="AO211" s="20"/>
      <c r="AS211" t="s">
        <v>25</v>
      </c>
    </row>
    <row r="212" spans="7:47">
      <c r="G212" s="205" t="s">
        <v>5646</v>
      </c>
      <c r="H212" s="111">
        <v>15359304.269892</v>
      </c>
      <c r="J212" t="s">
        <v>25</v>
      </c>
      <c r="R212" s="187" t="s">
        <v>5815</v>
      </c>
      <c r="S212" s="187" t="s">
        <v>5812</v>
      </c>
      <c r="T212" s="186">
        <v>21634932</v>
      </c>
      <c r="U212" s="205" t="s">
        <v>4773</v>
      </c>
      <c r="V212" s="205">
        <v>68796</v>
      </c>
      <c r="W212" s="111">
        <v>293.53250000000003</v>
      </c>
      <c r="X212" s="111">
        <f t="shared" si="49"/>
        <v>20193861.870000001</v>
      </c>
      <c r="Y212" s="97" t="s">
        <v>743</v>
      </c>
      <c r="AI212" s="97">
        <v>192</v>
      </c>
      <c r="AJ212" s="111" t="s">
        <v>5217</v>
      </c>
      <c r="AK212" s="111">
        <v>-3600000</v>
      </c>
      <c r="AL212" s="97">
        <v>4</v>
      </c>
      <c r="AM212" s="20">
        <f t="shared" si="56"/>
        <v>745</v>
      </c>
      <c r="AN212" s="115">
        <f t="shared" si="57"/>
        <v>-2682000000</v>
      </c>
      <c r="AO212" s="20"/>
      <c r="AT212" t="s">
        <v>25</v>
      </c>
    </row>
    <row r="213" spans="7:47">
      <c r="G213" s="205" t="s">
        <v>5648</v>
      </c>
      <c r="H213" s="111">
        <v>2868508.1846330003</v>
      </c>
      <c r="O213" t="s">
        <v>25</v>
      </c>
      <c r="P213" s="112"/>
      <c r="Q213" s="112"/>
      <c r="R213" s="187" t="s">
        <v>4725</v>
      </c>
      <c r="S213" s="187" t="s">
        <v>5812</v>
      </c>
      <c r="T213" s="186">
        <v>-22520813.151772</v>
      </c>
      <c r="U213" s="205" t="s">
        <v>4773</v>
      </c>
      <c r="V213" s="205">
        <v>154791</v>
      </c>
      <c r="W213" s="111">
        <v>293.53250000000003</v>
      </c>
      <c r="X213" s="111">
        <f t="shared" si="49"/>
        <v>45436189.207500003</v>
      </c>
      <c r="Y213" s="97" t="s">
        <v>452</v>
      </c>
      <c r="AI213" s="97">
        <v>193</v>
      </c>
      <c r="AJ213" s="111" t="s">
        <v>5223</v>
      </c>
      <c r="AK213" s="111">
        <v>-1000000</v>
      </c>
      <c r="AL213" s="97">
        <v>5</v>
      </c>
      <c r="AM213" s="20">
        <f t="shared" si="56"/>
        <v>741</v>
      </c>
      <c r="AN213" s="115">
        <f t="shared" si="57"/>
        <v>-741000000</v>
      </c>
      <c r="AO213" s="20"/>
      <c r="AS213" t="s">
        <v>25</v>
      </c>
    </row>
    <row r="214" spans="7:47">
      <c r="G214" s="205" t="s">
        <v>5649</v>
      </c>
      <c r="H214" s="111">
        <v>17450393.011856001</v>
      </c>
      <c r="P214" s="112"/>
      <c r="R214" s="19" t="s">
        <v>6197</v>
      </c>
      <c r="S214" s="19" t="s">
        <v>6195</v>
      </c>
      <c r="T214" s="115">
        <v>-6000000</v>
      </c>
      <c r="U214" s="205" t="s">
        <v>4773</v>
      </c>
      <c r="V214" s="205">
        <v>-11923</v>
      </c>
      <c r="W214" s="111">
        <v>293.53250000000003</v>
      </c>
      <c r="X214" s="111">
        <f t="shared" si="49"/>
        <v>-3499787.9975000005</v>
      </c>
      <c r="Y214" s="97" t="s">
        <v>452</v>
      </c>
      <c r="AI214" s="97">
        <v>194</v>
      </c>
      <c r="AJ214" s="111" t="s">
        <v>5228</v>
      </c>
      <c r="AK214" s="111">
        <v>360000</v>
      </c>
      <c r="AL214" s="97">
        <v>2</v>
      </c>
      <c r="AM214" s="20">
        <f t="shared" ref="AM214:AM278" si="58">AM215+AL214</f>
        <v>736</v>
      </c>
      <c r="AN214" s="115">
        <f t="shared" ref="AN214:AN278" si="59">AK214*AM214</f>
        <v>264960000</v>
      </c>
      <c r="AO214" s="20"/>
      <c r="AR214" t="s">
        <v>25</v>
      </c>
    </row>
    <row r="215" spans="7:47">
      <c r="G215" s="205" t="s">
        <v>5650</v>
      </c>
      <c r="H215" s="111">
        <v>31388943.254850004</v>
      </c>
      <c r="J215" t="s">
        <v>25</v>
      </c>
      <c r="R215" s="187" t="s">
        <v>5363</v>
      </c>
      <c r="S215" s="187" t="s">
        <v>6268</v>
      </c>
      <c r="T215" s="186">
        <v>130888.351165</v>
      </c>
      <c r="U215" s="205" t="s">
        <v>4785</v>
      </c>
      <c r="V215" s="205">
        <v>8424</v>
      </c>
      <c r="W215" s="111">
        <v>299.15170000000001</v>
      </c>
      <c r="X215" s="111">
        <f t="shared" si="49"/>
        <v>2520053.9208</v>
      </c>
      <c r="Y215" s="97" t="s">
        <v>452</v>
      </c>
      <c r="AI215" s="97">
        <v>195</v>
      </c>
      <c r="AJ215" s="111" t="s">
        <v>5233</v>
      </c>
      <c r="AK215" s="111">
        <v>2000000</v>
      </c>
      <c r="AL215" s="97">
        <v>1</v>
      </c>
      <c r="AM215" s="20">
        <f t="shared" si="58"/>
        <v>734</v>
      </c>
      <c r="AN215" s="115">
        <f t="shared" si="59"/>
        <v>1468000000</v>
      </c>
      <c r="AO215" s="20"/>
    </row>
    <row r="216" spans="7:47">
      <c r="G216" s="205" t="s">
        <v>5651</v>
      </c>
      <c r="H216" s="111">
        <v>30912095.373174001</v>
      </c>
      <c r="P216" s="112"/>
      <c r="R216" s="187" t="s">
        <v>6375</v>
      </c>
      <c r="S216" s="187" t="s">
        <v>6371</v>
      </c>
      <c r="T216" s="186">
        <v>50000000</v>
      </c>
      <c r="U216" s="205" t="s">
        <v>4820</v>
      </c>
      <c r="V216" s="205">
        <v>15943</v>
      </c>
      <c r="W216" s="111">
        <v>307.34415000000001</v>
      </c>
      <c r="X216" s="111">
        <f t="shared" si="49"/>
        <v>4899987.78345</v>
      </c>
      <c r="Y216" s="97" t="s">
        <v>452</v>
      </c>
      <c r="AI216" s="97">
        <v>196</v>
      </c>
      <c r="AJ216" s="111" t="s">
        <v>5235</v>
      </c>
      <c r="AK216" s="111">
        <v>20000000</v>
      </c>
      <c r="AL216" s="97">
        <v>0</v>
      </c>
      <c r="AM216" s="20">
        <f t="shared" si="58"/>
        <v>733</v>
      </c>
      <c r="AN216" s="115">
        <f t="shared" si="59"/>
        <v>14660000000</v>
      </c>
      <c r="AO216" s="20" t="s">
        <v>4668</v>
      </c>
      <c r="AS216" t="s">
        <v>25</v>
      </c>
    </row>
    <row r="217" spans="7:47">
      <c r="G217" s="205" t="s">
        <v>5653</v>
      </c>
      <c r="H217" s="111">
        <v>19602926.115093999</v>
      </c>
      <c r="K217" t="s">
        <v>25</v>
      </c>
      <c r="P217" s="112"/>
      <c r="Q217" s="112"/>
      <c r="R217" s="19" t="s">
        <v>6399</v>
      </c>
      <c r="S217" s="19" t="s">
        <v>6398</v>
      </c>
      <c r="T217" s="115">
        <v>96000</v>
      </c>
      <c r="U217" s="205" t="s">
        <v>4832</v>
      </c>
      <c r="V217" s="205">
        <v>3741</v>
      </c>
      <c r="W217" s="111">
        <v>307.34415000000001</v>
      </c>
      <c r="X217" s="111">
        <f t="shared" si="49"/>
        <v>1149774.4651500001</v>
      </c>
      <c r="Y217" s="97" t="s">
        <v>452</v>
      </c>
      <c r="AA217" t="s">
        <v>25</v>
      </c>
      <c r="AI217" s="97">
        <v>197</v>
      </c>
      <c r="AJ217" s="111" t="s">
        <v>5235</v>
      </c>
      <c r="AK217" s="111">
        <v>-4700000</v>
      </c>
      <c r="AL217" s="97">
        <v>1</v>
      </c>
      <c r="AM217" s="20">
        <f t="shared" si="58"/>
        <v>733</v>
      </c>
      <c r="AN217" s="115">
        <f t="shared" si="59"/>
        <v>-3445100000</v>
      </c>
      <c r="AO217" s="20"/>
    </row>
    <row r="218" spans="7:47">
      <c r="G218" s="205" t="s">
        <v>5657</v>
      </c>
      <c r="H218" s="111">
        <v>34458590.308710001</v>
      </c>
      <c r="Q218" s="112"/>
      <c r="R218" s="187" t="s">
        <v>6805</v>
      </c>
      <c r="S218" s="187" t="s">
        <v>6803</v>
      </c>
      <c r="T218" s="186">
        <v>-40615000</v>
      </c>
      <c r="U218" s="205" t="s">
        <v>4837</v>
      </c>
      <c r="V218" s="205">
        <v>-6207</v>
      </c>
      <c r="W218" s="111">
        <v>322.214</v>
      </c>
      <c r="X218" s="111">
        <f t="shared" si="49"/>
        <v>-1999982.298</v>
      </c>
      <c r="Y218" s="97" t="s">
        <v>743</v>
      </c>
      <c r="AI218" s="97">
        <v>198</v>
      </c>
      <c r="AJ218" s="111" t="s">
        <v>5238</v>
      </c>
      <c r="AK218" s="111">
        <v>3000000</v>
      </c>
      <c r="AL218" s="97">
        <v>4</v>
      </c>
      <c r="AM218" s="20">
        <f t="shared" si="58"/>
        <v>732</v>
      </c>
      <c r="AN218" s="115">
        <f t="shared" si="59"/>
        <v>2196000000</v>
      </c>
      <c r="AO218" s="20"/>
      <c r="AT218" t="s">
        <v>25</v>
      </c>
    </row>
    <row r="219" spans="7:47">
      <c r="G219" s="205" t="s">
        <v>5659</v>
      </c>
      <c r="H219" s="111">
        <v>21697868.203256</v>
      </c>
      <c r="P219" s="112"/>
      <c r="Q219" s="112"/>
      <c r="R219" s="187" t="s">
        <v>6828</v>
      </c>
      <c r="S219" s="187" t="s">
        <v>6827</v>
      </c>
      <c r="T219" s="186">
        <v>7300000</v>
      </c>
      <c r="U219" s="205" t="s">
        <v>4837</v>
      </c>
      <c r="V219" s="205">
        <v>6207</v>
      </c>
      <c r="W219" s="111">
        <v>322.214</v>
      </c>
      <c r="X219" s="111">
        <f t="shared" si="49"/>
        <v>1999982.298</v>
      </c>
      <c r="Y219" s="97" t="s">
        <v>4406</v>
      </c>
      <c r="AI219" s="97">
        <v>199</v>
      </c>
      <c r="AJ219" s="111" t="s">
        <v>5240</v>
      </c>
      <c r="AK219" s="111">
        <v>1500000</v>
      </c>
      <c r="AL219" s="97">
        <v>1</v>
      </c>
      <c r="AM219" s="20">
        <f t="shared" si="58"/>
        <v>728</v>
      </c>
      <c r="AN219" s="115">
        <f t="shared" si="59"/>
        <v>1092000000</v>
      </c>
      <c r="AO219" s="20"/>
    </row>
    <row r="220" spans="7:47">
      <c r="G220" s="205" t="s">
        <v>5661</v>
      </c>
      <c r="H220" s="111">
        <v>25340079.252110001</v>
      </c>
      <c r="P220" t="s">
        <v>25</v>
      </c>
      <c r="Q220" s="112"/>
      <c r="R220" s="19" t="s">
        <v>6870</v>
      </c>
      <c r="S220" s="19" t="s">
        <v>6867</v>
      </c>
      <c r="T220" s="115">
        <v>-6128000</v>
      </c>
      <c r="U220" s="205" t="s">
        <v>4792</v>
      </c>
      <c r="V220" s="205">
        <v>776</v>
      </c>
      <c r="W220" s="111">
        <v>322.214</v>
      </c>
      <c r="X220" s="111">
        <f t="shared" si="49"/>
        <v>250038.06400000001</v>
      </c>
      <c r="Y220" s="97" t="s">
        <v>452</v>
      </c>
      <c r="AI220" s="97">
        <v>200</v>
      </c>
      <c r="AJ220" s="111" t="s">
        <v>5242</v>
      </c>
      <c r="AK220" s="111">
        <v>30000000</v>
      </c>
      <c r="AL220" s="97">
        <v>33</v>
      </c>
      <c r="AM220" s="20">
        <f t="shared" si="58"/>
        <v>727</v>
      </c>
      <c r="AN220" s="115">
        <f t="shared" si="59"/>
        <v>21810000000</v>
      </c>
      <c r="AO220" s="20"/>
    </row>
    <row r="221" spans="7:47">
      <c r="G221" s="205" t="s">
        <v>5662</v>
      </c>
      <c r="H221" s="111">
        <v>14780983.183526</v>
      </c>
      <c r="Q221" s="112"/>
      <c r="R221" s="187" t="s">
        <v>6924</v>
      </c>
      <c r="S221" s="187" t="s">
        <v>6922</v>
      </c>
      <c r="T221" s="186">
        <v>-79825035</v>
      </c>
      <c r="U221" s="205" t="s">
        <v>4859</v>
      </c>
      <c r="V221" s="205">
        <v>1524</v>
      </c>
      <c r="W221" s="111">
        <v>314.95999999999998</v>
      </c>
      <c r="X221" s="111">
        <f t="shared" si="49"/>
        <v>479999.04</v>
      </c>
      <c r="Y221" s="97" t="s">
        <v>1069</v>
      </c>
      <c r="AI221" s="97">
        <v>201</v>
      </c>
      <c r="AJ221" s="111" t="s">
        <v>5316</v>
      </c>
      <c r="AK221" s="111">
        <v>3000000</v>
      </c>
      <c r="AL221" s="97">
        <v>1</v>
      </c>
      <c r="AM221" s="20">
        <f t="shared" si="58"/>
        <v>694</v>
      </c>
      <c r="AN221" s="115">
        <f t="shared" si="59"/>
        <v>2082000000</v>
      </c>
      <c r="AO221" s="20"/>
    </row>
    <row r="222" spans="7:47">
      <c r="G222" s="205" t="s">
        <v>5665</v>
      </c>
      <c r="H222" s="111">
        <v>17804396.448481999</v>
      </c>
      <c r="Q222" s="112"/>
      <c r="R222" s="19" t="s">
        <v>6950</v>
      </c>
      <c r="S222" s="19" t="s">
        <v>6945</v>
      </c>
      <c r="T222" s="115">
        <v>-11300000</v>
      </c>
      <c r="U222" s="205" t="s">
        <v>4866</v>
      </c>
      <c r="V222" s="205">
        <v>4435</v>
      </c>
      <c r="W222" s="111">
        <v>316.4375</v>
      </c>
      <c r="X222" s="111">
        <f t="shared" si="49"/>
        <v>1403400.3125</v>
      </c>
      <c r="Y222" s="97" t="s">
        <v>452</v>
      </c>
      <c r="AI222" s="97">
        <v>202</v>
      </c>
      <c r="AJ222" s="111" t="s">
        <v>5317</v>
      </c>
      <c r="AK222" s="111">
        <v>7000000</v>
      </c>
      <c r="AL222" s="97">
        <v>4</v>
      </c>
      <c r="AM222" s="20">
        <f t="shared" si="58"/>
        <v>693</v>
      </c>
      <c r="AN222" s="115">
        <f t="shared" si="59"/>
        <v>4851000000</v>
      </c>
      <c r="AO222" s="20"/>
    </row>
    <row r="223" spans="7:47">
      <c r="G223" s="205" t="s">
        <v>5668</v>
      </c>
      <c r="H223" s="111">
        <v>11538335.631417999</v>
      </c>
      <c r="P223" s="112"/>
      <c r="Q223" s="112"/>
      <c r="R223" s="187"/>
      <c r="S223" s="187" t="s">
        <v>6975</v>
      </c>
      <c r="T223" s="186">
        <v>-15162600</v>
      </c>
      <c r="U223" s="205" t="s">
        <v>4869</v>
      </c>
      <c r="V223" s="205">
        <v>624</v>
      </c>
      <c r="W223" s="111">
        <v>320.5</v>
      </c>
      <c r="X223" s="111">
        <f t="shared" si="49"/>
        <v>199992</v>
      </c>
      <c r="Y223" s="97" t="s">
        <v>452</v>
      </c>
      <c r="AI223" s="97">
        <v>203</v>
      </c>
      <c r="AJ223" s="111" t="s">
        <v>5325</v>
      </c>
      <c r="AK223" s="111">
        <v>8800000</v>
      </c>
      <c r="AL223" s="97">
        <v>2</v>
      </c>
      <c r="AM223" s="20">
        <f t="shared" si="58"/>
        <v>689</v>
      </c>
      <c r="AN223" s="115">
        <f t="shared" si="59"/>
        <v>6063200000</v>
      </c>
      <c r="AO223" s="20"/>
    </row>
    <row r="224" spans="7:47" ht="28.5" customHeight="1">
      <c r="G224" s="205" t="s">
        <v>5669</v>
      </c>
      <c r="H224" s="111">
        <v>12429517.767776001</v>
      </c>
      <c r="P224" s="112"/>
      <c r="Q224" s="112"/>
      <c r="R224" s="19"/>
      <c r="S224" s="19"/>
      <c r="T224" s="115"/>
      <c r="U224" s="205" t="s">
        <v>4874</v>
      </c>
      <c r="V224" s="205">
        <v>1086</v>
      </c>
      <c r="W224" s="111">
        <v>317.55</v>
      </c>
      <c r="X224" s="111">
        <f t="shared" si="49"/>
        <v>344859.3</v>
      </c>
      <c r="Y224" s="97" t="s">
        <v>452</v>
      </c>
      <c r="AI224" s="97">
        <v>204</v>
      </c>
      <c r="AJ224" s="111" t="s">
        <v>5330</v>
      </c>
      <c r="AK224" s="111">
        <v>40000000</v>
      </c>
      <c r="AL224" s="97">
        <v>8</v>
      </c>
      <c r="AM224" s="20">
        <f t="shared" si="58"/>
        <v>687</v>
      </c>
      <c r="AN224" s="115">
        <f t="shared" si="59"/>
        <v>27480000000</v>
      </c>
      <c r="AO224" s="20" t="s">
        <v>4668</v>
      </c>
    </row>
    <row r="225" spans="4:46">
      <c r="G225" s="205" t="s">
        <v>5677</v>
      </c>
      <c r="H225" s="111">
        <v>5031176.5087869996</v>
      </c>
      <c r="J225" t="s">
        <v>25</v>
      </c>
      <c r="P225" s="112"/>
      <c r="Q225" s="112"/>
      <c r="R225" s="19"/>
      <c r="S225" s="19"/>
      <c r="T225" s="115"/>
      <c r="U225" s="205" t="s">
        <v>4879</v>
      </c>
      <c r="V225" s="205">
        <v>2820</v>
      </c>
      <c r="W225" s="111">
        <v>319.1096</v>
      </c>
      <c r="X225" s="111">
        <f t="shared" si="49"/>
        <v>899889.07200000004</v>
      </c>
      <c r="Y225" s="97" t="s">
        <v>452</v>
      </c>
      <c r="AI225" s="97">
        <v>205</v>
      </c>
      <c r="AJ225" s="111" t="s">
        <v>5345</v>
      </c>
      <c r="AK225" s="111">
        <v>400000</v>
      </c>
      <c r="AL225" s="97">
        <v>17</v>
      </c>
      <c r="AM225" s="20">
        <f t="shared" si="58"/>
        <v>679</v>
      </c>
      <c r="AN225" s="115">
        <f t="shared" si="59"/>
        <v>271600000</v>
      </c>
      <c r="AO225" s="20"/>
      <c r="AS225" t="s">
        <v>25</v>
      </c>
    </row>
    <row r="226" spans="4:46">
      <c r="G226" s="205" t="s">
        <v>5679</v>
      </c>
      <c r="H226" s="111">
        <v>6822803.9080700008</v>
      </c>
      <c r="J226" t="s">
        <v>25</v>
      </c>
      <c r="P226" s="112"/>
      <c r="R226" s="19"/>
      <c r="S226" s="19"/>
      <c r="T226" s="115"/>
      <c r="U226" s="205" t="s">
        <v>4882</v>
      </c>
      <c r="V226" s="205">
        <v>1145</v>
      </c>
      <c r="W226" s="111">
        <v>325.44</v>
      </c>
      <c r="X226" s="111">
        <f t="shared" si="49"/>
        <v>372628.8</v>
      </c>
      <c r="Y226" s="97" t="s">
        <v>452</v>
      </c>
      <c r="Z226" t="s">
        <v>25</v>
      </c>
      <c r="AI226" s="97">
        <v>206</v>
      </c>
      <c r="AJ226" s="111" t="s">
        <v>5365</v>
      </c>
      <c r="AK226" s="111">
        <v>-20000000</v>
      </c>
      <c r="AL226" s="97">
        <v>18</v>
      </c>
      <c r="AM226" s="20">
        <f t="shared" si="58"/>
        <v>662</v>
      </c>
      <c r="AN226" s="115">
        <f t="shared" si="59"/>
        <v>-13240000000</v>
      </c>
      <c r="AO226" s="20" t="s">
        <v>4953</v>
      </c>
    </row>
    <row r="227" spans="4:46">
      <c r="D227" s="94"/>
      <c r="E227" s="94"/>
      <c r="G227" s="205" t="s">
        <v>5683</v>
      </c>
      <c r="H227" s="111">
        <v>330889.73324399994</v>
      </c>
      <c r="P227" s="112"/>
      <c r="R227" s="19"/>
      <c r="S227" s="19"/>
      <c r="T227" s="115"/>
      <c r="U227" s="205" t="s">
        <v>4890</v>
      </c>
      <c r="V227" s="205">
        <v>20153</v>
      </c>
      <c r="W227" s="111">
        <v>322</v>
      </c>
      <c r="X227" s="111">
        <f t="shared" si="49"/>
        <v>6489266</v>
      </c>
      <c r="Y227" s="97" t="s">
        <v>452</v>
      </c>
      <c r="AI227" s="97">
        <v>207</v>
      </c>
      <c r="AJ227" s="111" t="s">
        <v>5379</v>
      </c>
      <c r="AK227" s="111">
        <v>3006000</v>
      </c>
      <c r="AL227" s="97">
        <v>19</v>
      </c>
      <c r="AM227" s="20">
        <f t="shared" si="58"/>
        <v>644</v>
      </c>
      <c r="AN227" s="115">
        <f t="shared" si="59"/>
        <v>1935864000</v>
      </c>
      <c r="AO227" s="20"/>
    </row>
    <row r="228" spans="4:46">
      <c r="D228" s="94"/>
      <c r="E228" s="94"/>
      <c r="G228" s="205" t="s">
        <v>5692</v>
      </c>
      <c r="H228" s="111">
        <v>6610318.1610199995</v>
      </c>
      <c r="P228" s="112"/>
      <c r="Q228" s="112"/>
      <c r="R228" s="205" t="s">
        <v>25</v>
      </c>
      <c r="S228" s="205"/>
      <c r="T228" s="111"/>
      <c r="U228" s="205" t="s">
        <v>4900</v>
      </c>
      <c r="V228" s="205">
        <v>93720</v>
      </c>
      <c r="W228" s="111">
        <v>325.435</v>
      </c>
      <c r="X228" s="111">
        <f t="shared" si="49"/>
        <v>30499768.199999999</v>
      </c>
      <c r="Y228" s="97" t="s">
        <v>1069</v>
      </c>
      <c r="AI228" s="97">
        <v>208</v>
      </c>
      <c r="AJ228" s="111" t="s">
        <v>5278</v>
      </c>
      <c r="AK228" s="111">
        <v>-130382924</v>
      </c>
      <c r="AL228" s="97">
        <v>0</v>
      </c>
      <c r="AM228" s="20">
        <f t="shared" si="58"/>
        <v>625</v>
      </c>
      <c r="AN228" s="115">
        <f t="shared" si="59"/>
        <v>-81489327500</v>
      </c>
      <c r="AO228" s="20" t="s">
        <v>5402</v>
      </c>
      <c r="AS228" t="s">
        <v>25</v>
      </c>
    </row>
    <row r="229" spans="4:46">
      <c r="D229" s="94"/>
      <c r="E229" s="94"/>
      <c r="F229" s="94"/>
      <c r="G229" s="205" t="s">
        <v>5693</v>
      </c>
      <c r="H229" s="111">
        <v>710713.17725199996</v>
      </c>
      <c r="P229" s="112"/>
      <c r="Q229" s="112"/>
      <c r="R229" s="205"/>
      <c r="S229" s="205"/>
      <c r="T229" s="111">
        <f>SUM(T175:T228)</f>
        <v>15222322.132091016</v>
      </c>
      <c r="U229" s="205" t="s">
        <v>4900</v>
      </c>
      <c r="V229" s="205">
        <v>20895</v>
      </c>
      <c r="W229" s="111">
        <v>325.435</v>
      </c>
      <c r="X229" s="111">
        <f t="shared" si="49"/>
        <v>6799964.3250000002</v>
      </c>
      <c r="Y229" s="97" t="s">
        <v>743</v>
      </c>
      <c r="AI229" s="97">
        <v>209</v>
      </c>
      <c r="AJ229" s="111" t="s">
        <v>5278</v>
      </c>
      <c r="AK229" s="111">
        <v>125000000</v>
      </c>
      <c r="AL229" s="97">
        <v>1</v>
      </c>
      <c r="AM229" s="20">
        <f t="shared" si="58"/>
        <v>625</v>
      </c>
      <c r="AN229" s="115">
        <f t="shared" si="59"/>
        <v>78125000000</v>
      </c>
      <c r="AO229" s="20"/>
      <c r="AS229" t="s">
        <v>25</v>
      </c>
    </row>
    <row r="230" spans="4:46">
      <c r="D230" s="94"/>
      <c r="E230" s="94"/>
      <c r="F230" s="94"/>
      <c r="G230" s="205" t="s">
        <v>5695</v>
      </c>
      <c r="H230" s="111">
        <v>81025</v>
      </c>
      <c r="P230" s="112"/>
      <c r="R230" s="41"/>
      <c r="S230" s="205"/>
      <c r="T230" s="205" t="s">
        <v>6</v>
      </c>
      <c r="U230" s="205" t="s">
        <v>4907</v>
      </c>
      <c r="V230" s="205">
        <v>2611</v>
      </c>
      <c r="W230" s="111">
        <v>325.435</v>
      </c>
      <c r="X230" s="111">
        <f t="shared" si="49"/>
        <v>849710.78500000003</v>
      </c>
      <c r="Y230" s="97" t="s">
        <v>743</v>
      </c>
      <c r="AI230" s="97">
        <v>210</v>
      </c>
      <c r="AJ230" s="111" t="s">
        <v>5401</v>
      </c>
      <c r="AK230" s="111">
        <v>7200000</v>
      </c>
      <c r="AL230" s="97">
        <v>15</v>
      </c>
      <c r="AM230" s="20">
        <f t="shared" si="58"/>
        <v>624</v>
      </c>
      <c r="AN230" s="115">
        <f t="shared" si="59"/>
        <v>4492800000</v>
      </c>
      <c r="AO230" s="20"/>
      <c r="AR230" t="s">
        <v>25</v>
      </c>
      <c r="AT230" t="s">
        <v>25</v>
      </c>
    </row>
    <row r="231" spans="4:46">
      <c r="D231" s="94"/>
      <c r="E231" s="94"/>
      <c r="F231" s="94"/>
      <c r="G231" s="205" t="s">
        <v>5698</v>
      </c>
      <c r="H231" s="111">
        <v>219696.613128</v>
      </c>
      <c r="P231" s="112"/>
      <c r="R231" s="94"/>
      <c r="U231" s="205" t="s">
        <v>4915</v>
      </c>
      <c r="V231" s="205">
        <v>6750</v>
      </c>
      <c r="W231" s="111">
        <v>339.3</v>
      </c>
      <c r="X231" s="111">
        <f t="shared" si="49"/>
        <v>2290275</v>
      </c>
      <c r="Y231" s="97" t="s">
        <v>743</v>
      </c>
      <c r="AB231" t="s">
        <v>25</v>
      </c>
      <c r="AI231" s="97">
        <v>211</v>
      </c>
      <c r="AJ231" s="111" t="s">
        <v>5420</v>
      </c>
      <c r="AK231" s="111">
        <v>2050000</v>
      </c>
      <c r="AL231" s="97">
        <v>7</v>
      </c>
      <c r="AM231" s="20">
        <f t="shared" si="58"/>
        <v>609</v>
      </c>
      <c r="AN231" s="115">
        <f t="shared" si="59"/>
        <v>1248450000</v>
      </c>
      <c r="AO231" s="20"/>
      <c r="AS231" t="s">
        <v>25</v>
      </c>
      <c r="AT231" t="s">
        <v>25</v>
      </c>
    </row>
    <row r="232" spans="4:46">
      <c r="D232" s="94"/>
      <c r="E232" s="94"/>
      <c r="F232" s="94"/>
      <c r="G232" s="205" t="s">
        <v>5699</v>
      </c>
      <c r="H232" s="111">
        <v>6035472.4070199998</v>
      </c>
      <c r="R232" s="94" t="s">
        <v>25</v>
      </c>
      <c r="S232" s="94" t="s">
        <v>25</v>
      </c>
      <c r="U232" s="205" t="s">
        <v>4923</v>
      </c>
      <c r="V232" s="205">
        <v>1850</v>
      </c>
      <c r="W232" s="111">
        <v>334.10050000000001</v>
      </c>
      <c r="X232" s="111">
        <f t="shared" si="49"/>
        <v>618085.92500000005</v>
      </c>
      <c r="Y232" s="97" t="s">
        <v>452</v>
      </c>
      <c r="Z232" t="s">
        <v>25</v>
      </c>
      <c r="AI232" s="97">
        <v>212</v>
      </c>
      <c r="AJ232" s="111" t="s">
        <v>5437</v>
      </c>
      <c r="AK232" s="111">
        <v>50000000</v>
      </c>
      <c r="AL232" s="97">
        <v>24</v>
      </c>
      <c r="AM232" s="20">
        <f t="shared" si="58"/>
        <v>602</v>
      </c>
      <c r="AN232" s="115">
        <f t="shared" si="59"/>
        <v>30100000000</v>
      </c>
      <c r="AO232" s="20" t="s">
        <v>4668</v>
      </c>
    </row>
    <row r="233" spans="4:46">
      <c r="D233" s="94"/>
      <c r="E233" s="94"/>
      <c r="F233" s="94"/>
      <c r="G233" s="205" t="s">
        <v>5700</v>
      </c>
      <c r="H233" s="111">
        <v>984486.34963200008</v>
      </c>
      <c r="R233" s="94" t="s">
        <v>25</v>
      </c>
      <c r="S233" s="94" t="s">
        <v>25</v>
      </c>
      <c r="T233" t="s">
        <v>25</v>
      </c>
      <c r="U233" s="205" t="s">
        <v>4923</v>
      </c>
      <c r="V233" s="205">
        <v>-1194</v>
      </c>
      <c r="W233" s="111">
        <v>335</v>
      </c>
      <c r="X233" s="111">
        <f t="shared" si="49"/>
        <v>-399990</v>
      </c>
      <c r="Y233" s="97" t="s">
        <v>4406</v>
      </c>
      <c r="Z233" t="s">
        <v>25</v>
      </c>
      <c r="AI233" s="97">
        <v>213</v>
      </c>
      <c r="AJ233" s="111" t="s">
        <v>5473</v>
      </c>
      <c r="AK233" s="111">
        <v>-58196600</v>
      </c>
      <c r="AL233" s="97">
        <v>22</v>
      </c>
      <c r="AM233" s="20">
        <f t="shared" si="58"/>
        <v>578</v>
      </c>
      <c r="AN233" s="115">
        <f t="shared" si="59"/>
        <v>-33637634800</v>
      </c>
      <c r="AO233" s="20" t="s">
        <v>4846</v>
      </c>
    </row>
    <row r="234" spans="4:46">
      <c r="F234" s="94"/>
      <c r="G234" s="205" t="s">
        <v>5701</v>
      </c>
      <c r="H234" s="111">
        <v>2143469.938015</v>
      </c>
      <c r="P234" s="112"/>
      <c r="T234" t="s">
        <v>25</v>
      </c>
      <c r="U234" s="205" t="s">
        <v>4923</v>
      </c>
      <c r="V234" s="205">
        <v>1194</v>
      </c>
      <c r="W234" s="111">
        <v>335</v>
      </c>
      <c r="X234" s="111">
        <f t="shared" si="49"/>
        <v>399990</v>
      </c>
      <c r="Y234" s="97" t="s">
        <v>743</v>
      </c>
      <c r="AI234" s="97">
        <v>214</v>
      </c>
      <c r="AJ234" s="111" t="s">
        <v>5514</v>
      </c>
      <c r="AK234" s="111">
        <v>25000</v>
      </c>
      <c r="AL234" s="97">
        <v>8</v>
      </c>
      <c r="AM234" s="20">
        <f t="shared" si="58"/>
        <v>556</v>
      </c>
      <c r="AN234" s="115">
        <f t="shared" si="59"/>
        <v>13900000</v>
      </c>
      <c r="AO234" s="20"/>
    </row>
    <row r="235" spans="4:46">
      <c r="F235" s="94"/>
      <c r="G235" s="205" t="s">
        <v>5711</v>
      </c>
      <c r="H235" s="111">
        <v>3085460.5177150001</v>
      </c>
      <c r="P235" s="112"/>
      <c r="R235" s="97" t="s">
        <v>743</v>
      </c>
      <c r="S235" s="97"/>
      <c r="T235" t="s">
        <v>25</v>
      </c>
      <c r="U235" s="205" t="s">
        <v>4930</v>
      </c>
      <c r="V235" s="205">
        <v>433</v>
      </c>
      <c r="W235" s="111">
        <v>345.68</v>
      </c>
      <c r="X235" s="111">
        <f t="shared" si="49"/>
        <v>149679.44</v>
      </c>
      <c r="Y235" s="97" t="s">
        <v>743</v>
      </c>
      <c r="AI235" s="97">
        <v>215</v>
      </c>
      <c r="AJ235" s="111" t="s">
        <v>5535</v>
      </c>
      <c r="AK235" s="111">
        <v>70000</v>
      </c>
      <c r="AL235" s="97">
        <v>6</v>
      </c>
      <c r="AM235" s="20">
        <f t="shared" si="58"/>
        <v>548</v>
      </c>
      <c r="AN235" s="115">
        <f t="shared" si="59"/>
        <v>38360000</v>
      </c>
      <c r="AO235" s="20"/>
    </row>
    <row r="236" spans="4:46">
      <c r="G236" s="205" t="s">
        <v>5712</v>
      </c>
      <c r="H236" s="111">
        <v>8261456.790906</v>
      </c>
      <c r="R236" s="97" t="s">
        <v>4399</v>
      </c>
      <c r="S236" s="93">
        <v>172908000</v>
      </c>
      <c r="T236" t="s">
        <v>25</v>
      </c>
      <c r="U236" s="205" t="s">
        <v>4934</v>
      </c>
      <c r="V236" s="205">
        <v>55459</v>
      </c>
      <c r="W236" s="111">
        <v>362.51978000000003</v>
      </c>
      <c r="X236" s="111">
        <f t="shared" si="49"/>
        <v>20104984.479020003</v>
      </c>
      <c r="Y236" s="97" t="s">
        <v>452</v>
      </c>
      <c r="AI236" s="97">
        <v>216</v>
      </c>
      <c r="AJ236" s="111" t="s">
        <v>5540</v>
      </c>
      <c r="AK236" s="111">
        <v>70000</v>
      </c>
      <c r="AL236" s="97">
        <v>1</v>
      </c>
      <c r="AM236" s="20">
        <f t="shared" si="58"/>
        <v>542</v>
      </c>
      <c r="AN236" s="115">
        <f t="shared" si="59"/>
        <v>37940000</v>
      </c>
      <c r="AO236" s="20"/>
      <c r="AS236" t="s">
        <v>25</v>
      </c>
    </row>
    <row r="237" spans="4:46">
      <c r="G237" s="205" t="s">
        <v>5713</v>
      </c>
      <c r="H237" s="111">
        <v>6572373.7593120001</v>
      </c>
      <c r="K237" t="s">
        <v>25</v>
      </c>
      <c r="R237" s="97" t="s">
        <v>4429</v>
      </c>
      <c r="S237" s="93">
        <v>1400000</v>
      </c>
      <c r="U237" s="205" t="s">
        <v>4938</v>
      </c>
      <c r="V237" s="205">
        <v>-57212</v>
      </c>
      <c r="W237" s="111">
        <v>368.45400000000001</v>
      </c>
      <c r="X237" s="111">
        <f t="shared" si="49"/>
        <v>-21079990.248</v>
      </c>
      <c r="Y237" s="97" t="s">
        <v>452</v>
      </c>
      <c r="AI237" s="97">
        <v>217</v>
      </c>
      <c r="AJ237" s="111" t="s">
        <v>5529</v>
      </c>
      <c r="AK237" s="111">
        <v>150000</v>
      </c>
      <c r="AL237" s="97">
        <v>0</v>
      </c>
      <c r="AM237" s="20">
        <f t="shared" si="58"/>
        <v>541</v>
      </c>
      <c r="AN237" s="115">
        <f t="shared" si="59"/>
        <v>81150000</v>
      </c>
      <c r="AO237" s="20"/>
      <c r="AR237" t="s">
        <v>25</v>
      </c>
      <c r="AT237" t="s">
        <v>25</v>
      </c>
    </row>
    <row r="238" spans="4:46">
      <c r="G238" s="205" t="s">
        <v>5717</v>
      </c>
      <c r="H238" s="111">
        <v>2893243.5730909999</v>
      </c>
      <c r="R238" s="97" t="s">
        <v>4205</v>
      </c>
      <c r="S238" s="93">
        <v>247393</v>
      </c>
      <c r="T238" t="s">
        <v>25</v>
      </c>
      <c r="U238" s="205" t="s">
        <v>4939</v>
      </c>
      <c r="V238" s="205">
        <v>-15881</v>
      </c>
      <c r="W238" s="111">
        <v>374.61599999999999</v>
      </c>
      <c r="X238" s="111">
        <f t="shared" si="49"/>
        <v>-5949276.6959999995</v>
      </c>
      <c r="Y238" s="97" t="s">
        <v>452</v>
      </c>
      <c r="AI238" s="97">
        <v>218</v>
      </c>
      <c r="AJ238" s="111" t="s">
        <v>5529</v>
      </c>
      <c r="AK238" s="111">
        <v>-95599450</v>
      </c>
      <c r="AL238" s="97">
        <v>7</v>
      </c>
      <c r="AM238" s="20">
        <f t="shared" si="58"/>
        <v>541</v>
      </c>
      <c r="AN238" s="115">
        <f t="shared" si="59"/>
        <v>-51719302450</v>
      </c>
      <c r="AO238" s="20" t="s">
        <v>5543</v>
      </c>
      <c r="AS238" t="s">
        <v>25</v>
      </c>
    </row>
    <row r="239" spans="4:46">
      <c r="G239" s="205" t="s">
        <v>5718</v>
      </c>
      <c r="H239" s="111">
        <v>94992058.939007998</v>
      </c>
      <c r="J239" t="s">
        <v>25</v>
      </c>
      <c r="R239" s="97" t="s">
        <v>4204</v>
      </c>
      <c r="S239" s="93">
        <v>6780000</v>
      </c>
      <c r="U239" s="205" t="s">
        <v>4945</v>
      </c>
      <c r="V239" s="205">
        <v>-41289</v>
      </c>
      <c r="W239" s="111">
        <v>372.27</v>
      </c>
      <c r="X239" s="111">
        <f t="shared" si="49"/>
        <v>-15370656.029999999</v>
      </c>
      <c r="Y239" s="97" t="s">
        <v>452</v>
      </c>
      <c r="AI239" s="97">
        <v>219</v>
      </c>
      <c r="AJ239" s="111" t="s">
        <v>5551</v>
      </c>
      <c r="AK239" s="111">
        <v>200000</v>
      </c>
      <c r="AL239" s="97">
        <v>7</v>
      </c>
      <c r="AM239" s="20">
        <f t="shared" si="58"/>
        <v>534</v>
      </c>
      <c r="AN239" s="115">
        <f t="shared" si="59"/>
        <v>106800000</v>
      </c>
      <c r="AO239" s="20"/>
      <c r="AS239" t="s">
        <v>25</v>
      </c>
    </row>
    <row r="240" spans="4:46">
      <c r="G240" s="205" t="s">
        <v>5723</v>
      </c>
      <c r="H240" s="111">
        <v>275021.925965</v>
      </c>
      <c r="K240" t="s">
        <v>25</v>
      </c>
      <c r="R240" s="97" t="s">
        <v>4527</v>
      </c>
      <c r="S240" s="93">
        <v>-4000000</v>
      </c>
      <c r="U240" s="205" t="s">
        <v>4951</v>
      </c>
      <c r="V240" s="205">
        <v>13563</v>
      </c>
      <c r="W240" s="111">
        <v>365.69799999999998</v>
      </c>
      <c r="X240" s="111">
        <f t="shared" si="49"/>
        <v>4959961.9739999995</v>
      </c>
      <c r="Y240" s="97" t="s">
        <v>452</v>
      </c>
      <c r="AI240" s="97">
        <v>220</v>
      </c>
      <c r="AJ240" s="111" t="s">
        <v>5556</v>
      </c>
      <c r="AK240" s="111">
        <v>150000</v>
      </c>
      <c r="AL240" s="97">
        <v>5</v>
      </c>
      <c r="AM240" s="20">
        <f t="shared" si="58"/>
        <v>527</v>
      </c>
      <c r="AN240" s="115">
        <f t="shared" si="59"/>
        <v>79050000</v>
      </c>
      <c r="AO240" s="20"/>
    </row>
    <row r="241" spans="7:47">
      <c r="G241" s="205" t="s">
        <v>5728</v>
      </c>
      <c r="H241" s="111">
        <v>327451.9203</v>
      </c>
      <c r="R241" s="97" t="s">
        <v>4552</v>
      </c>
      <c r="S241" s="93">
        <v>16727037</v>
      </c>
      <c r="U241" s="205" t="s">
        <v>4951</v>
      </c>
      <c r="V241" s="205">
        <v>27344</v>
      </c>
      <c r="W241" s="111">
        <v>365.69799999999998</v>
      </c>
      <c r="X241" s="111">
        <f t="shared" si="49"/>
        <v>9999646.1119999997</v>
      </c>
      <c r="Y241" s="97" t="s">
        <v>452</v>
      </c>
      <c r="AI241" s="97">
        <v>221</v>
      </c>
      <c r="AJ241" s="111" t="s">
        <v>5559</v>
      </c>
      <c r="AK241" s="111">
        <v>310000</v>
      </c>
      <c r="AL241" s="97">
        <v>31</v>
      </c>
      <c r="AM241" s="20">
        <f t="shared" si="58"/>
        <v>522</v>
      </c>
      <c r="AN241" s="115">
        <f t="shared" si="59"/>
        <v>161820000</v>
      </c>
      <c r="AO241" s="20"/>
      <c r="AS241" t="s">
        <v>25</v>
      </c>
    </row>
    <row r="242" spans="7:47" ht="30">
      <c r="G242" s="205" t="s">
        <v>5738</v>
      </c>
      <c r="H242" s="111">
        <v>260081.94096800001</v>
      </c>
      <c r="R242" s="97" t="s">
        <v>4557</v>
      </c>
      <c r="S242" s="93">
        <v>46460683</v>
      </c>
      <c r="T242" t="s">
        <v>25</v>
      </c>
      <c r="U242" s="205" t="s">
        <v>4958</v>
      </c>
      <c r="V242" s="205">
        <v>-103145</v>
      </c>
      <c r="W242" s="111">
        <v>393.334</v>
      </c>
      <c r="X242" s="111">
        <f t="shared" si="49"/>
        <v>-40570435.43</v>
      </c>
      <c r="Y242" s="36" t="s">
        <v>4963</v>
      </c>
      <c r="AI242" s="97">
        <v>222</v>
      </c>
      <c r="AJ242" s="111" t="s">
        <v>5595</v>
      </c>
      <c r="AK242" s="111">
        <v>4200000</v>
      </c>
      <c r="AL242" s="97">
        <v>53</v>
      </c>
      <c r="AM242" s="20">
        <f t="shared" si="58"/>
        <v>491</v>
      </c>
      <c r="AN242" s="115">
        <f t="shared" si="59"/>
        <v>2062200000</v>
      </c>
      <c r="AO242" s="20"/>
      <c r="AU242" s="94" t="s">
        <v>25</v>
      </c>
    </row>
    <row r="243" spans="7:47">
      <c r="G243" s="205" t="s">
        <v>5746</v>
      </c>
      <c r="H243" s="111">
        <v>2909284.5308940001</v>
      </c>
      <c r="R243" s="97" t="s">
        <v>4558</v>
      </c>
      <c r="S243" s="93">
        <v>19663646</v>
      </c>
      <c r="U243" s="205" t="s">
        <v>4958</v>
      </c>
      <c r="V243" s="205">
        <v>-369</v>
      </c>
      <c r="W243" s="111">
        <v>393.334</v>
      </c>
      <c r="X243" s="111">
        <f t="shared" si="49"/>
        <v>-145140.24600000001</v>
      </c>
      <c r="Y243" s="36" t="s">
        <v>5035</v>
      </c>
      <c r="AI243" s="97">
        <v>223</v>
      </c>
      <c r="AJ243" s="111" t="s">
        <v>5665</v>
      </c>
      <c r="AK243" s="111">
        <v>260000000</v>
      </c>
      <c r="AL243" s="97">
        <v>22</v>
      </c>
      <c r="AM243" s="20">
        <f t="shared" si="58"/>
        <v>438</v>
      </c>
      <c r="AN243" s="115">
        <f t="shared" si="59"/>
        <v>113880000000</v>
      </c>
      <c r="AO243" s="20" t="s">
        <v>5666</v>
      </c>
    </row>
    <row r="244" spans="7:47">
      <c r="G244" s="205" t="s">
        <v>5747</v>
      </c>
      <c r="H244" s="111">
        <v>37723205.094084002</v>
      </c>
      <c r="R244" s="97" t="s">
        <v>4579</v>
      </c>
      <c r="S244" s="93">
        <v>4374525</v>
      </c>
      <c r="U244" s="205" t="s">
        <v>4958</v>
      </c>
      <c r="V244" s="205">
        <v>-889</v>
      </c>
      <c r="W244" s="111">
        <v>393.334</v>
      </c>
      <c r="X244" s="111">
        <f t="shared" si="49"/>
        <v>-349673.92599999998</v>
      </c>
      <c r="Y244" s="36" t="s">
        <v>5036</v>
      </c>
      <c r="AI244" s="97">
        <v>224</v>
      </c>
      <c r="AJ244" s="111" t="s">
        <v>5693</v>
      </c>
      <c r="AK244" s="111">
        <v>20000</v>
      </c>
      <c r="AL244" s="97">
        <v>7</v>
      </c>
      <c r="AM244" s="20">
        <f t="shared" si="58"/>
        <v>416</v>
      </c>
      <c r="AN244" s="115">
        <f t="shared" si="59"/>
        <v>8320000</v>
      </c>
      <c r="AO244" s="20"/>
      <c r="AQ244" t="s">
        <v>25</v>
      </c>
    </row>
    <row r="245" spans="7:47">
      <c r="G245" s="205" t="s">
        <v>5748</v>
      </c>
      <c r="H245" s="111">
        <v>1500094.75168</v>
      </c>
      <c r="R245" s="97" t="s">
        <v>4590</v>
      </c>
      <c r="S245" s="93">
        <v>6550580</v>
      </c>
      <c r="U245" s="205" t="s">
        <v>4967</v>
      </c>
      <c r="V245" s="205">
        <v>2546</v>
      </c>
      <c r="W245" s="111">
        <v>393</v>
      </c>
      <c r="X245" s="111">
        <f t="shared" si="49"/>
        <v>1000578</v>
      </c>
      <c r="Y245" s="36" t="s">
        <v>452</v>
      </c>
      <c r="AI245" s="97">
        <v>225</v>
      </c>
      <c r="AJ245" s="111" t="s">
        <v>5701</v>
      </c>
      <c r="AK245" s="111">
        <v>70000</v>
      </c>
      <c r="AL245" s="97">
        <v>1</v>
      </c>
      <c r="AM245" s="20">
        <f t="shared" si="58"/>
        <v>409</v>
      </c>
      <c r="AN245" s="115">
        <f t="shared" si="59"/>
        <v>28630000</v>
      </c>
      <c r="AO245" s="20"/>
    </row>
    <row r="246" spans="7:47">
      <c r="G246" s="205" t="s">
        <v>5749</v>
      </c>
      <c r="H246" s="111">
        <v>7230628.4378079996</v>
      </c>
      <c r="J246" t="s">
        <v>25</v>
      </c>
      <c r="P246" t="s">
        <v>25</v>
      </c>
      <c r="R246" s="97" t="s">
        <v>4592</v>
      </c>
      <c r="S246" s="93">
        <v>6650895</v>
      </c>
      <c r="U246" s="205" t="s">
        <v>4968</v>
      </c>
      <c r="V246" s="205">
        <v>1034</v>
      </c>
      <c r="W246" s="111">
        <v>386.608</v>
      </c>
      <c r="X246" s="111">
        <f t="shared" si="49"/>
        <v>399752.67200000002</v>
      </c>
      <c r="Y246" s="36" t="s">
        <v>452</v>
      </c>
      <c r="AI246" s="97">
        <v>226</v>
      </c>
      <c r="AJ246" s="111" t="s">
        <v>5707</v>
      </c>
      <c r="AK246" s="111">
        <v>330000</v>
      </c>
      <c r="AL246" s="97">
        <v>1</v>
      </c>
      <c r="AM246" s="20">
        <f t="shared" si="58"/>
        <v>408</v>
      </c>
      <c r="AN246" s="115">
        <f t="shared" si="59"/>
        <v>134640000</v>
      </c>
      <c r="AO246" s="20"/>
    </row>
    <row r="247" spans="7:47">
      <c r="G247" s="205" t="s">
        <v>5751</v>
      </c>
      <c r="H247" s="111">
        <v>29767389.390390001</v>
      </c>
      <c r="R247" s="97" t="s">
        <v>4605</v>
      </c>
      <c r="S247" s="93">
        <v>2145814</v>
      </c>
      <c r="U247" s="205" t="s">
        <v>4975</v>
      </c>
      <c r="V247" s="205">
        <v>300</v>
      </c>
      <c r="W247" s="111">
        <v>400</v>
      </c>
      <c r="X247" s="111">
        <f t="shared" si="49"/>
        <v>120000</v>
      </c>
      <c r="Y247" s="36" t="s">
        <v>452</v>
      </c>
      <c r="AI247" s="97">
        <v>227</v>
      </c>
      <c r="AJ247" s="111" t="s">
        <v>5796</v>
      </c>
      <c r="AK247" s="111">
        <v>33833075</v>
      </c>
      <c r="AL247" s="97">
        <v>18</v>
      </c>
      <c r="AM247" s="20">
        <f t="shared" si="58"/>
        <v>407</v>
      </c>
      <c r="AN247" s="115">
        <f t="shared" si="59"/>
        <v>13770061525</v>
      </c>
      <c r="AO247" s="20" t="s">
        <v>5800</v>
      </c>
    </row>
    <row r="248" spans="7:47">
      <c r="G248" s="205" t="s">
        <v>5753</v>
      </c>
      <c r="H248" s="111">
        <v>151560.25597</v>
      </c>
      <c r="R248" s="97" t="s">
        <v>4616</v>
      </c>
      <c r="S248" s="93">
        <v>4369730</v>
      </c>
      <c r="U248" s="205" t="s">
        <v>4983</v>
      </c>
      <c r="V248" s="205">
        <v>782</v>
      </c>
      <c r="W248" s="111">
        <v>409</v>
      </c>
      <c r="X248" s="111">
        <f t="shared" si="49"/>
        <v>319838</v>
      </c>
      <c r="Y248" s="36" t="s">
        <v>743</v>
      </c>
      <c r="AI248" s="97">
        <v>228</v>
      </c>
      <c r="AJ248" s="111" t="s">
        <v>5807</v>
      </c>
      <c r="AK248" s="111">
        <v>150000</v>
      </c>
      <c r="AL248" s="97">
        <v>10</v>
      </c>
      <c r="AM248" s="20">
        <f t="shared" si="58"/>
        <v>389</v>
      </c>
      <c r="AN248" s="115">
        <f t="shared" si="59"/>
        <v>58350000</v>
      </c>
      <c r="AO248" s="20"/>
    </row>
    <row r="249" spans="7:47">
      <c r="G249" s="205" t="s">
        <v>5754</v>
      </c>
      <c r="H249" s="111">
        <v>481318.88078800001</v>
      </c>
      <c r="J249" t="s">
        <v>25</v>
      </c>
      <c r="R249" s="97" t="s">
        <v>4618</v>
      </c>
      <c r="S249" s="93">
        <v>8739459</v>
      </c>
      <c r="T249" t="s">
        <v>25</v>
      </c>
      <c r="U249" s="205" t="s">
        <v>4987</v>
      </c>
      <c r="V249" s="205">
        <v>1220</v>
      </c>
      <c r="W249" s="111">
        <v>409.9</v>
      </c>
      <c r="X249" s="111">
        <f t="shared" si="49"/>
        <v>500078</v>
      </c>
      <c r="Y249" s="36" t="s">
        <v>743</v>
      </c>
      <c r="AI249" s="97">
        <v>229</v>
      </c>
      <c r="AJ249" s="111" t="s">
        <v>5812</v>
      </c>
      <c r="AK249" s="111">
        <v>-341847876.93843603</v>
      </c>
      <c r="AL249" s="97">
        <v>1</v>
      </c>
      <c r="AM249" s="20">
        <f t="shared" si="58"/>
        <v>379</v>
      </c>
      <c r="AN249" s="115">
        <f t="shared" si="59"/>
        <v>-129560345359.66725</v>
      </c>
      <c r="AO249" s="20" t="s">
        <v>4725</v>
      </c>
      <c r="AQ249" t="s">
        <v>25</v>
      </c>
    </row>
    <row r="250" spans="7:47" ht="20.25" customHeight="1">
      <c r="G250" s="205" t="s">
        <v>5757</v>
      </c>
      <c r="H250" s="111">
        <v>146277.56820000001</v>
      </c>
      <c r="R250" s="97" t="s">
        <v>4627</v>
      </c>
      <c r="S250" s="93">
        <v>6667654</v>
      </c>
      <c r="U250" s="205" t="s">
        <v>4989</v>
      </c>
      <c r="V250" s="205">
        <v>1285</v>
      </c>
      <c r="W250" s="111">
        <v>388.84</v>
      </c>
      <c r="X250" s="111">
        <f t="shared" si="49"/>
        <v>499659.39999999997</v>
      </c>
      <c r="Y250" s="36" t="s">
        <v>452</v>
      </c>
      <c r="AI250" s="97">
        <v>230</v>
      </c>
      <c r="AJ250" s="111" t="s">
        <v>5823</v>
      </c>
      <c r="AK250" s="111">
        <v>100000000</v>
      </c>
      <c r="AL250" s="97">
        <v>0</v>
      </c>
      <c r="AM250" s="20">
        <f t="shared" si="58"/>
        <v>378</v>
      </c>
      <c r="AN250" s="115">
        <f t="shared" si="59"/>
        <v>37800000000</v>
      </c>
      <c r="AO250" s="20" t="s">
        <v>5824</v>
      </c>
    </row>
    <row r="251" spans="7:47" ht="30">
      <c r="G251" s="205" t="s">
        <v>5769</v>
      </c>
      <c r="H251" s="111">
        <v>424693.40162399999</v>
      </c>
      <c r="J251" t="s">
        <v>25</v>
      </c>
      <c r="R251" s="97" t="s">
        <v>4635</v>
      </c>
      <c r="S251" s="93">
        <v>8981245</v>
      </c>
      <c r="U251" s="205" t="s">
        <v>4980</v>
      </c>
      <c r="V251" s="205">
        <v>1924</v>
      </c>
      <c r="W251" s="111">
        <v>386.69600000000003</v>
      </c>
      <c r="X251" s="111">
        <f t="shared" si="49"/>
        <v>744003.10400000005</v>
      </c>
      <c r="Y251" s="36" t="s">
        <v>452</v>
      </c>
      <c r="AI251" s="97">
        <v>231</v>
      </c>
      <c r="AJ251" s="111" t="s">
        <v>5823</v>
      </c>
      <c r="AK251" s="111">
        <v>-100000000</v>
      </c>
      <c r="AL251" s="97">
        <v>1</v>
      </c>
      <c r="AM251" s="20">
        <f t="shared" si="58"/>
        <v>378</v>
      </c>
      <c r="AN251" s="115">
        <f t="shared" si="59"/>
        <v>-37800000000</v>
      </c>
      <c r="AO251" s="259" t="s">
        <v>5825</v>
      </c>
    </row>
    <row r="252" spans="7:47">
      <c r="G252" s="205" t="s">
        <v>5772</v>
      </c>
      <c r="H252" s="111">
        <v>558320.40202399995</v>
      </c>
      <c r="J252" t="s">
        <v>25</v>
      </c>
      <c r="O252" t="s">
        <v>25</v>
      </c>
      <c r="P252" t="s">
        <v>25</v>
      </c>
      <c r="R252" s="97" t="s">
        <v>4639</v>
      </c>
      <c r="S252" s="93">
        <v>9181756</v>
      </c>
      <c r="U252" s="205" t="s">
        <v>5005</v>
      </c>
      <c r="V252" s="205">
        <v>165</v>
      </c>
      <c r="W252" s="111">
        <v>393.5</v>
      </c>
      <c r="X252" s="111">
        <f t="shared" si="49"/>
        <v>64927.5</v>
      </c>
      <c r="Y252" s="36" t="s">
        <v>452</v>
      </c>
      <c r="AI252" s="97">
        <v>232</v>
      </c>
      <c r="AJ252" s="111" t="s">
        <v>5826</v>
      </c>
      <c r="AK252" s="111">
        <v>90000000</v>
      </c>
      <c r="AL252" s="97">
        <v>0</v>
      </c>
      <c r="AM252" s="20">
        <f t="shared" si="58"/>
        <v>377</v>
      </c>
      <c r="AN252" s="115">
        <f t="shared" si="59"/>
        <v>33930000000</v>
      </c>
      <c r="AO252" s="20"/>
    </row>
    <row r="253" spans="7:47" ht="30">
      <c r="G253" s="205" t="s">
        <v>5774</v>
      </c>
      <c r="H253" s="111">
        <v>207642.22201140001</v>
      </c>
      <c r="J253" t="s">
        <v>25</v>
      </c>
      <c r="R253" s="97" t="s">
        <v>4642</v>
      </c>
      <c r="S253" s="93">
        <v>11811208</v>
      </c>
      <c r="T253" t="s">
        <v>25</v>
      </c>
      <c r="U253" s="205" t="s">
        <v>5010</v>
      </c>
      <c r="V253" s="205">
        <v>-34859</v>
      </c>
      <c r="W253" s="111">
        <v>403.1585</v>
      </c>
      <c r="X253" s="111">
        <f t="shared" si="49"/>
        <v>-14053702.1515</v>
      </c>
      <c r="Y253" s="36" t="s">
        <v>5013</v>
      </c>
      <c r="AI253" s="97">
        <v>233</v>
      </c>
      <c r="AJ253" s="111" t="s">
        <v>5826</v>
      </c>
      <c r="AK253" s="111">
        <v>-90000000</v>
      </c>
      <c r="AL253" s="97">
        <v>1</v>
      </c>
      <c r="AM253" s="20">
        <f t="shared" si="58"/>
        <v>377</v>
      </c>
      <c r="AN253" s="115">
        <f t="shared" si="59"/>
        <v>-33930000000</v>
      </c>
      <c r="AO253" s="259" t="s">
        <v>5827</v>
      </c>
      <c r="AR253" t="s">
        <v>25</v>
      </c>
      <c r="AT253" t="s">
        <v>25</v>
      </c>
    </row>
    <row r="254" spans="7:47">
      <c r="G254" s="277" t="s">
        <v>5805</v>
      </c>
      <c r="H254" s="88">
        <v>637977.33504399995</v>
      </c>
      <c r="R254" s="97" t="s">
        <v>4654</v>
      </c>
      <c r="S254" s="93">
        <v>41248054</v>
      </c>
      <c r="T254" t="s">
        <v>25</v>
      </c>
      <c r="U254" s="205" t="s">
        <v>4981</v>
      </c>
      <c r="V254" s="205">
        <v>8476</v>
      </c>
      <c r="W254" s="111">
        <v>419.49900000000002</v>
      </c>
      <c r="X254" s="111">
        <f t="shared" si="49"/>
        <v>3555673.5240000002</v>
      </c>
      <c r="Y254" s="36" t="s">
        <v>5019</v>
      </c>
      <c r="AI254" s="97">
        <v>234</v>
      </c>
      <c r="AJ254" s="111" t="s">
        <v>5828</v>
      </c>
      <c r="AK254" s="111">
        <v>30000000</v>
      </c>
      <c r="AL254" s="97">
        <v>0</v>
      </c>
      <c r="AM254" s="20">
        <f t="shared" si="58"/>
        <v>376</v>
      </c>
      <c r="AN254" s="115">
        <f t="shared" si="59"/>
        <v>11280000000</v>
      </c>
      <c r="AO254" s="259"/>
    </row>
    <row r="255" spans="7:47" ht="30">
      <c r="G255" s="205" t="s">
        <v>5806</v>
      </c>
      <c r="H255" s="111">
        <v>466552.25632400002</v>
      </c>
      <c r="O255" t="s">
        <v>25</v>
      </c>
      <c r="R255" s="97" t="s">
        <v>4661</v>
      </c>
      <c r="S255" s="93">
        <v>37328780</v>
      </c>
      <c r="U255" s="205" t="s">
        <v>5031</v>
      </c>
      <c r="V255" s="205">
        <v>903</v>
      </c>
      <c r="W255" s="111">
        <v>442.77379999999999</v>
      </c>
      <c r="X255" s="111">
        <f t="shared" si="49"/>
        <v>399824.7414</v>
      </c>
      <c r="Y255" s="36" t="s">
        <v>743</v>
      </c>
      <c r="AI255" s="97">
        <v>235</v>
      </c>
      <c r="AJ255" s="111" t="s">
        <v>5828</v>
      </c>
      <c r="AK255" s="111">
        <v>-30000000</v>
      </c>
      <c r="AL255" s="97">
        <v>3</v>
      </c>
      <c r="AM255" s="20">
        <f t="shared" si="58"/>
        <v>376</v>
      </c>
      <c r="AN255" s="115">
        <f t="shared" si="59"/>
        <v>-11280000000</v>
      </c>
      <c r="AO255" s="259" t="s">
        <v>5829</v>
      </c>
    </row>
    <row r="256" spans="7:47">
      <c r="G256" s="205" t="s">
        <v>5807</v>
      </c>
      <c r="H256" s="111">
        <v>189134.85153000001</v>
      </c>
      <c r="J256" t="s">
        <v>25</v>
      </c>
      <c r="R256" s="97" t="s">
        <v>4737</v>
      </c>
      <c r="S256" s="93">
        <v>-2194100</v>
      </c>
      <c r="U256" s="205" t="s">
        <v>5034</v>
      </c>
      <c r="V256" s="205">
        <v>113</v>
      </c>
      <c r="W256" s="111">
        <v>442.48200000000003</v>
      </c>
      <c r="X256" s="111">
        <f t="shared" ref="X256:X337" si="60">V256*W256</f>
        <v>50000.466</v>
      </c>
      <c r="Y256" s="36" t="s">
        <v>743</v>
      </c>
      <c r="AI256" s="97">
        <v>236</v>
      </c>
      <c r="AJ256" s="111" t="s">
        <v>5835</v>
      </c>
      <c r="AK256" s="111">
        <v>50000000</v>
      </c>
      <c r="AL256" s="97">
        <v>1</v>
      </c>
      <c r="AM256" s="20">
        <f t="shared" si="58"/>
        <v>373</v>
      </c>
      <c r="AN256" s="115">
        <f t="shared" si="59"/>
        <v>18650000000</v>
      </c>
      <c r="AO256" s="259"/>
    </row>
    <row r="257" spans="7:46" ht="30">
      <c r="G257" s="205" t="s">
        <v>5809</v>
      </c>
      <c r="H257" s="111">
        <v>564888.82799599995</v>
      </c>
      <c r="R257" s="97" t="s">
        <v>4773</v>
      </c>
      <c r="S257" s="93">
        <v>20193916</v>
      </c>
      <c r="U257" s="205" t="s">
        <v>5044</v>
      </c>
      <c r="V257" s="205">
        <v>671</v>
      </c>
      <c r="W257" s="111">
        <v>447</v>
      </c>
      <c r="X257" s="111">
        <f t="shared" si="60"/>
        <v>299937</v>
      </c>
      <c r="Y257" s="36" t="s">
        <v>743</v>
      </c>
      <c r="AI257" s="97">
        <v>237</v>
      </c>
      <c r="AJ257" s="111" t="s">
        <v>5836</v>
      </c>
      <c r="AK257" s="111">
        <v>-50000000</v>
      </c>
      <c r="AL257" s="97">
        <v>5</v>
      </c>
      <c r="AM257" s="20">
        <f t="shared" si="58"/>
        <v>372</v>
      </c>
      <c r="AN257" s="115">
        <f t="shared" si="59"/>
        <v>-18600000000</v>
      </c>
      <c r="AO257" s="259" t="s">
        <v>5837</v>
      </c>
      <c r="AQ257" t="s">
        <v>25</v>
      </c>
    </row>
    <row r="258" spans="7:46">
      <c r="G258" s="205" t="s">
        <v>5835</v>
      </c>
      <c r="H258" s="111">
        <v>259993.58394100002</v>
      </c>
      <c r="J258" t="s">
        <v>25</v>
      </c>
      <c r="O258" t="s">
        <v>25</v>
      </c>
      <c r="R258" s="97" t="s">
        <v>4837</v>
      </c>
      <c r="S258" s="93">
        <v>-2000000</v>
      </c>
      <c r="U258" s="205" t="s">
        <v>5046</v>
      </c>
      <c r="V258" s="205">
        <v>7</v>
      </c>
      <c r="W258" s="111">
        <v>465.31200000000001</v>
      </c>
      <c r="X258" s="111">
        <f t="shared" si="60"/>
        <v>3257.1840000000002</v>
      </c>
      <c r="Y258" s="36" t="s">
        <v>452</v>
      </c>
      <c r="AI258" s="97">
        <v>238</v>
      </c>
      <c r="AJ258" s="111" t="s">
        <v>6182</v>
      </c>
      <c r="AK258" s="111">
        <v>10000</v>
      </c>
      <c r="AL258" s="97">
        <v>1</v>
      </c>
      <c r="AM258" s="20">
        <f t="shared" si="58"/>
        <v>367</v>
      </c>
      <c r="AN258" s="115">
        <f t="shared" si="59"/>
        <v>3670000</v>
      </c>
      <c r="AO258" s="259"/>
    </row>
    <row r="259" spans="7:46" ht="15" customHeight="1">
      <c r="G259" s="205" t="s">
        <v>5836</v>
      </c>
      <c r="H259" s="111">
        <v>269955.31205999997</v>
      </c>
      <c r="P259" t="s">
        <v>25</v>
      </c>
      <c r="R259" s="97" t="s">
        <v>4900</v>
      </c>
      <c r="S259" s="93">
        <v>6800000</v>
      </c>
      <c r="T259" t="s">
        <v>25</v>
      </c>
      <c r="U259" s="205" t="s">
        <v>5050</v>
      </c>
      <c r="V259" s="205">
        <v>12950</v>
      </c>
      <c r="W259" s="111">
        <v>463.31599999999997</v>
      </c>
      <c r="X259" s="111">
        <f t="shared" si="60"/>
        <v>5999942.1999999993</v>
      </c>
      <c r="Y259" s="36" t="s">
        <v>452</v>
      </c>
      <c r="AI259" s="97">
        <v>239</v>
      </c>
      <c r="AJ259" s="111" t="s">
        <v>6185</v>
      </c>
      <c r="AK259" s="111">
        <v>50000000</v>
      </c>
      <c r="AL259" s="97">
        <v>43</v>
      </c>
      <c r="AM259" s="20">
        <f t="shared" si="58"/>
        <v>366</v>
      </c>
      <c r="AN259" s="115">
        <f t="shared" si="59"/>
        <v>18300000000</v>
      </c>
      <c r="AO259" s="259" t="s">
        <v>5333</v>
      </c>
    </row>
    <row r="260" spans="7:46">
      <c r="G260" s="205" t="s">
        <v>6191</v>
      </c>
      <c r="H260" s="111">
        <v>560534.38387200003</v>
      </c>
      <c r="R260" s="97" t="s">
        <v>4907</v>
      </c>
      <c r="S260" s="93">
        <v>850000</v>
      </c>
      <c r="U260" s="205" t="s">
        <v>5052</v>
      </c>
      <c r="V260" s="205">
        <v>37</v>
      </c>
      <c r="W260" s="111">
        <v>463.315</v>
      </c>
      <c r="X260" s="111">
        <f t="shared" si="60"/>
        <v>17142.654999999999</v>
      </c>
      <c r="Y260" s="36" t="s">
        <v>452</v>
      </c>
      <c r="AI260" s="97">
        <v>240</v>
      </c>
      <c r="AJ260" s="111" t="s">
        <v>6230</v>
      </c>
      <c r="AK260" s="111">
        <v>50000000</v>
      </c>
      <c r="AL260" s="97">
        <v>10</v>
      </c>
      <c r="AM260" s="20">
        <f t="shared" si="58"/>
        <v>323</v>
      </c>
      <c r="AN260" s="115">
        <f t="shared" si="59"/>
        <v>16150000000</v>
      </c>
      <c r="AO260" s="259" t="s">
        <v>6231</v>
      </c>
    </row>
    <row r="261" spans="7:46">
      <c r="G261" s="205" t="s">
        <v>6193</v>
      </c>
      <c r="H261" s="111">
        <v>581484.96802499995</v>
      </c>
      <c r="R261" s="97" t="s">
        <v>4915</v>
      </c>
      <c r="S261" s="93">
        <v>2290500</v>
      </c>
      <c r="U261" s="205" t="s">
        <v>5053</v>
      </c>
      <c r="V261" s="205">
        <v>19</v>
      </c>
      <c r="W261" s="111">
        <v>434.3</v>
      </c>
      <c r="X261" s="111">
        <f t="shared" si="60"/>
        <v>8251.7000000000007</v>
      </c>
      <c r="Y261" s="36" t="s">
        <v>452</v>
      </c>
      <c r="Z261" t="s">
        <v>25</v>
      </c>
      <c r="AI261" s="97">
        <v>241</v>
      </c>
      <c r="AJ261" s="111" t="s">
        <v>6232</v>
      </c>
      <c r="AK261" s="111">
        <v>8200000</v>
      </c>
      <c r="AL261" s="97">
        <v>29</v>
      </c>
      <c r="AM261" s="20">
        <f t="shared" si="58"/>
        <v>313</v>
      </c>
      <c r="AN261" s="115">
        <f t="shared" si="59"/>
        <v>2566600000</v>
      </c>
      <c r="AO261" s="259" t="s">
        <v>6231</v>
      </c>
      <c r="AS261" t="s">
        <v>25</v>
      </c>
      <c r="AT261" t="s">
        <v>25</v>
      </c>
    </row>
    <row r="262" spans="7:46">
      <c r="G262" s="205" t="s">
        <v>6195</v>
      </c>
      <c r="H262" s="111">
        <v>2136964.3409779998</v>
      </c>
      <c r="J262" t="s">
        <v>25</v>
      </c>
      <c r="P262" t="s">
        <v>25</v>
      </c>
      <c r="R262" s="97" t="s">
        <v>4923</v>
      </c>
      <c r="S262" s="93">
        <v>400000</v>
      </c>
      <c r="T262" t="s">
        <v>25</v>
      </c>
      <c r="U262" s="205" t="s">
        <v>5055</v>
      </c>
      <c r="V262" s="205">
        <v>16</v>
      </c>
      <c r="W262" s="111">
        <v>439</v>
      </c>
      <c r="X262" s="111">
        <f t="shared" si="60"/>
        <v>7024</v>
      </c>
      <c r="Y262" s="36" t="s">
        <v>452</v>
      </c>
      <c r="Z262" t="s">
        <v>25</v>
      </c>
      <c r="AI262" s="97">
        <v>242</v>
      </c>
      <c r="AJ262" s="111" t="s">
        <v>6264</v>
      </c>
      <c r="AK262" s="111">
        <v>-180000000</v>
      </c>
      <c r="AL262" s="97">
        <v>16</v>
      </c>
      <c r="AM262" s="20">
        <f t="shared" si="58"/>
        <v>284</v>
      </c>
      <c r="AN262" s="115">
        <f t="shared" si="59"/>
        <v>-51120000000</v>
      </c>
      <c r="AO262" s="259" t="s">
        <v>6267</v>
      </c>
    </row>
    <row r="263" spans="7:46" ht="17.25" customHeight="1">
      <c r="G263" s="205" t="s">
        <v>6198</v>
      </c>
      <c r="H263" s="111">
        <v>593783.22629999998</v>
      </c>
      <c r="J263" t="s">
        <v>25</v>
      </c>
      <c r="R263" s="97" t="s">
        <v>4930</v>
      </c>
      <c r="S263" s="93">
        <v>150000</v>
      </c>
      <c r="U263" s="205" t="s">
        <v>5055</v>
      </c>
      <c r="V263" s="205">
        <v>9191</v>
      </c>
      <c r="W263" s="111">
        <v>440.24630000000002</v>
      </c>
      <c r="X263" s="111">
        <f t="shared" si="60"/>
        <v>4046303.7433000002</v>
      </c>
      <c r="Y263" s="36" t="s">
        <v>5056</v>
      </c>
      <c r="AI263" s="97">
        <v>243</v>
      </c>
      <c r="AJ263" s="111" t="s">
        <v>6371</v>
      </c>
      <c r="AK263" s="111">
        <v>60000000</v>
      </c>
      <c r="AL263" s="97">
        <v>6</v>
      </c>
      <c r="AM263" s="20">
        <f t="shared" si="58"/>
        <v>268</v>
      </c>
      <c r="AN263" s="115">
        <f t="shared" si="59"/>
        <v>16080000000</v>
      </c>
      <c r="AO263" s="259" t="s">
        <v>6372</v>
      </c>
      <c r="AT263" t="s">
        <v>25</v>
      </c>
    </row>
    <row r="264" spans="7:46">
      <c r="G264" s="205" t="s">
        <v>6202</v>
      </c>
      <c r="H264" s="111">
        <v>469469.96222000004</v>
      </c>
      <c r="J264" t="s">
        <v>25</v>
      </c>
      <c r="K264" t="s">
        <v>25</v>
      </c>
      <c r="R264" s="97" t="s">
        <v>4958</v>
      </c>
      <c r="S264" s="93">
        <v>-144950</v>
      </c>
      <c r="U264" s="205" t="s">
        <v>5058</v>
      </c>
      <c r="V264" s="205">
        <v>-8792</v>
      </c>
      <c r="W264" s="111">
        <v>441.90665999999999</v>
      </c>
      <c r="X264" s="111">
        <f t="shared" si="60"/>
        <v>-3885243.3547199997</v>
      </c>
      <c r="Y264" s="36" t="s">
        <v>5059</v>
      </c>
      <c r="AI264" s="97">
        <v>244</v>
      </c>
      <c r="AJ264" s="111" t="s">
        <v>6380</v>
      </c>
      <c r="AK264" s="111">
        <v>5000</v>
      </c>
      <c r="AL264" s="97">
        <v>8</v>
      </c>
      <c r="AM264" s="20">
        <f t="shared" si="58"/>
        <v>262</v>
      </c>
      <c r="AN264" s="115">
        <f t="shared" si="59"/>
        <v>1310000</v>
      </c>
      <c r="AO264" s="259" t="s">
        <v>6231</v>
      </c>
    </row>
    <row r="265" spans="7:46">
      <c r="G265" s="205" t="s">
        <v>6233</v>
      </c>
      <c r="H265" s="111">
        <v>15777944</v>
      </c>
      <c r="R265" s="97" t="s">
        <v>4983</v>
      </c>
      <c r="S265" s="93">
        <v>320000</v>
      </c>
      <c r="U265" s="205" t="s">
        <v>5065</v>
      </c>
      <c r="V265" s="205">
        <v>530</v>
      </c>
      <c r="W265" s="111">
        <v>472</v>
      </c>
      <c r="X265" s="111">
        <f t="shared" si="60"/>
        <v>250160</v>
      </c>
      <c r="Y265" s="36" t="s">
        <v>743</v>
      </c>
      <c r="AI265" s="97">
        <v>245</v>
      </c>
      <c r="AJ265" s="111" t="s">
        <v>6385</v>
      </c>
      <c r="AK265" s="111">
        <v>102750000</v>
      </c>
      <c r="AL265" s="97">
        <v>5</v>
      </c>
      <c r="AM265" s="20">
        <f t="shared" si="58"/>
        <v>254</v>
      </c>
      <c r="AN265" s="115">
        <f t="shared" si="59"/>
        <v>26098500000</v>
      </c>
      <c r="AO265" s="259"/>
    </row>
    <row r="266" spans="7:46" ht="30">
      <c r="G266" s="205" t="s">
        <v>6240</v>
      </c>
      <c r="H266" s="111">
        <v>3585319.2317280001</v>
      </c>
      <c r="J266" t="s">
        <v>25</v>
      </c>
      <c r="K266" t="s">
        <v>25</v>
      </c>
      <c r="P266" t="s">
        <v>25</v>
      </c>
      <c r="R266" s="97" t="s">
        <v>4987</v>
      </c>
      <c r="S266" s="93">
        <v>500000</v>
      </c>
      <c r="T266" t="s">
        <v>25</v>
      </c>
      <c r="U266" s="205" t="s">
        <v>5065</v>
      </c>
      <c r="V266" s="205">
        <v>12</v>
      </c>
      <c r="W266" s="111">
        <v>481.86</v>
      </c>
      <c r="X266" s="111">
        <f t="shared" si="60"/>
        <v>5782.32</v>
      </c>
      <c r="Y266" s="36" t="s">
        <v>5067</v>
      </c>
      <c r="AI266" s="97">
        <v>246</v>
      </c>
      <c r="AJ266" s="111" t="s">
        <v>6392</v>
      </c>
      <c r="AK266" s="111">
        <v>-60000000</v>
      </c>
      <c r="AL266" s="97">
        <v>42</v>
      </c>
      <c r="AM266" s="20">
        <f t="shared" si="58"/>
        <v>249</v>
      </c>
      <c r="AN266" s="115">
        <f t="shared" si="59"/>
        <v>-14940000000</v>
      </c>
      <c r="AO266" s="259" t="s">
        <v>6396</v>
      </c>
    </row>
    <row r="267" spans="7:46" ht="20.25" customHeight="1">
      <c r="G267" s="205" t="s">
        <v>6243</v>
      </c>
      <c r="H267" s="111">
        <v>676700.69889600005</v>
      </c>
      <c r="J267" t="s">
        <v>25</v>
      </c>
      <c r="R267" s="97" t="s">
        <v>5031</v>
      </c>
      <c r="S267" s="93">
        <v>400000</v>
      </c>
      <c r="T267" t="s">
        <v>25</v>
      </c>
      <c r="U267" s="205" t="s">
        <v>5091</v>
      </c>
      <c r="V267" s="205">
        <v>846</v>
      </c>
      <c r="W267" s="111">
        <v>472.7</v>
      </c>
      <c r="X267" s="111">
        <f t="shared" si="60"/>
        <v>399904.2</v>
      </c>
      <c r="Y267" s="36" t="s">
        <v>452</v>
      </c>
      <c r="AI267" s="97">
        <v>247</v>
      </c>
      <c r="AJ267" s="111" t="s">
        <v>6700</v>
      </c>
      <c r="AK267" s="111">
        <v>50000</v>
      </c>
      <c r="AL267" s="97">
        <v>59</v>
      </c>
      <c r="AM267" s="20">
        <f t="shared" si="58"/>
        <v>207</v>
      </c>
      <c r="AN267" s="115">
        <f t="shared" si="59"/>
        <v>10350000</v>
      </c>
      <c r="AO267" s="259" t="s">
        <v>6231</v>
      </c>
      <c r="AT267" t="s">
        <v>25</v>
      </c>
    </row>
    <row r="268" spans="7:46">
      <c r="G268" s="205" t="s">
        <v>6251</v>
      </c>
      <c r="H268" s="111">
        <v>1105777.5430340001</v>
      </c>
      <c r="J268" t="s">
        <v>25</v>
      </c>
      <c r="R268" s="97" t="s">
        <v>5034</v>
      </c>
      <c r="S268" s="93">
        <v>50000</v>
      </c>
      <c r="T268" t="s">
        <v>25</v>
      </c>
      <c r="U268" s="205" t="s">
        <v>5094</v>
      </c>
      <c r="V268" s="205">
        <v>191</v>
      </c>
      <c r="W268" s="111">
        <v>484.572</v>
      </c>
      <c r="X268" s="111">
        <f t="shared" si="60"/>
        <v>92553.252000000008</v>
      </c>
      <c r="Y268" s="36" t="s">
        <v>5095</v>
      </c>
      <c r="AI268" s="97">
        <v>248</v>
      </c>
      <c r="AJ268" s="111" t="s">
        <v>6822</v>
      </c>
      <c r="AK268" s="111">
        <v>300000</v>
      </c>
      <c r="AL268" s="97">
        <v>55</v>
      </c>
      <c r="AM268" s="20">
        <f t="shared" si="58"/>
        <v>148</v>
      </c>
      <c r="AN268" s="115">
        <f t="shared" si="59"/>
        <v>44400000</v>
      </c>
      <c r="AO268" s="259"/>
    </row>
    <row r="269" spans="7:46" ht="21.75" customHeight="1">
      <c r="G269" s="205" t="s">
        <v>6254</v>
      </c>
      <c r="H269" s="111">
        <v>2315234.8602510002</v>
      </c>
      <c r="R269" s="97" t="s">
        <v>5044</v>
      </c>
      <c r="S269" s="93">
        <v>300000</v>
      </c>
      <c r="U269" s="205" t="s">
        <v>5094</v>
      </c>
      <c r="V269" s="205">
        <v>-206</v>
      </c>
      <c r="W269" s="111">
        <v>484.572</v>
      </c>
      <c r="X269" s="111">
        <f t="shared" si="60"/>
        <v>-99821.831999999995</v>
      </c>
      <c r="Y269" s="36" t="s">
        <v>5097</v>
      </c>
      <c r="AI269" s="97">
        <v>249</v>
      </c>
      <c r="AJ269" s="111" t="s">
        <v>6854</v>
      </c>
      <c r="AK269" s="111">
        <v>200000000</v>
      </c>
      <c r="AL269" s="97">
        <v>7</v>
      </c>
      <c r="AM269" s="20">
        <f t="shared" si="58"/>
        <v>93</v>
      </c>
      <c r="AN269" s="115">
        <f t="shared" si="59"/>
        <v>18600000000</v>
      </c>
      <c r="AO269" s="259" t="s">
        <v>6855</v>
      </c>
    </row>
    <row r="270" spans="7:46">
      <c r="G270" s="205" t="s">
        <v>6255</v>
      </c>
      <c r="H270" s="111">
        <v>4136360.6541840001</v>
      </c>
      <c r="J270" t="s">
        <v>25</v>
      </c>
      <c r="R270" s="97" t="s">
        <v>5065</v>
      </c>
      <c r="S270" s="93">
        <v>250000</v>
      </c>
      <c r="U270" s="205" t="s">
        <v>5098</v>
      </c>
      <c r="V270" s="205">
        <v>20685</v>
      </c>
      <c r="W270" s="111">
        <v>483.43312200000003</v>
      </c>
      <c r="X270" s="111">
        <f t="shared" si="60"/>
        <v>9999814.1285699997</v>
      </c>
      <c r="Y270" s="36" t="s">
        <v>5100</v>
      </c>
      <c r="AI270" s="97">
        <v>250</v>
      </c>
      <c r="AJ270" s="111" t="s">
        <v>6858</v>
      </c>
      <c r="AK270" s="111">
        <v>50000</v>
      </c>
      <c r="AL270" s="97">
        <v>83</v>
      </c>
      <c r="AM270" s="20">
        <f t="shared" si="58"/>
        <v>86</v>
      </c>
      <c r="AN270" s="115">
        <f t="shared" si="59"/>
        <v>4300000</v>
      </c>
      <c r="AO270" s="20" t="s">
        <v>6231</v>
      </c>
    </row>
    <row r="271" spans="7:46">
      <c r="G271" s="205" t="s">
        <v>6257</v>
      </c>
      <c r="H271" s="111">
        <v>3035714.4702960001</v>
      </c>
      <c r="R271" s="97" t="s">
        <v>5098</v>
      </c>
      <c r="S271" s="93">
        <v>200000</v>
      </c>
      <c r="U271" s="205" t="s">
        <v>5098</v>
      </c>
      <c r="V271" s="205">
        <v>-413</v>
      </c>
      <c r="W271" s="111">
        <v>483.40199999999999</v>
      </c>
      <c r="X271" s="111">
        <f t="shared" si="60"/>
        <v>-199645.02599999998</v>
      </c>
      <c r="Y271" s="36" t="s">
        <v>4406</v>
      </c>
      <c r="AD271" t="s">
        <v>25</v>
      </c>
      <c r="AI271" s="97">
        <v>251</v>
      </c>
      <c r="AJ271" s="111" t="s">
        <v>6922</v>
      </c>
      <c r="AK271" s="111">
        <v>20000000</v>
      </c>
      <c r="AL271" s="97">
        <v>0</v>
      </c>
      <c r="AM271" s="20">
        <f t="shared" si="58"/>
        <v>3</v>
      </c>
      <c r="AN271" s="115">
        <f t="shared" si="59"/>
        <v>60000000</v>
      </c>
      <c r="AO271" s="20" t="s">
        <v>6928</v>
      </c>
      <c r="AS271" t="s">
        <v>25</v>
      </c>
    </row>
    <row r="272" spans="7:46">
      <c r="G272" s="205" t="s">
        <v>6264</v>
      </c>
      <c r="H272" s="111">
        <v>93814</v>
      </c>
      <c r="R272" s="97" t="s">
        <v>5130</v>
      </c>
      <c r="S272" s="93">
        <v>122000</v>
      </c>
      <c r="U272" s="205" t="s">
        <v>5098</v>
      </c>
      <c r="V272" s="205">
        <v>413</v>
      </c>
      <c r="W272" s="111">
        <v>483.40199999999999</v>
      </c>
      <c r="X272" s="111">
        <f t="shared" si="60"/>
        <v>199645.02599999998</v>
      </c>
      <c r="Y272" s="36" t="s">
        <v>743</v>
      </c>
      <c r="AI272" s="97">
        <v>252</v>
      </c>
      <c r="AJ272" s="111" t="s">
        <v>6927</v>
      </c>
      <c r="AK272" s="111">
        <v>-562402000</v>
      </c>
      <c r="AL272" s="97">
        <v>1</v>
      </c>
      <c r="AM272" s="20">
        <f t="shared" si="58"/>
        <v>3</v>
      </c>
      <c r="AN272" s="115">
        <f t="shared" si="59"/>
        <v>-1687206000</v>
      </c>
      <c r="AO272" s="20" t="s">
        <v>6929</v>
      </c>
    </row>
    <row r="273" spans="7:44">
      <c r="G273" s="205" t="s">
        <v>6268</v>
      </c>
      <c r="H273" s="111">
        <v>345069.28943499998</v>
      </c>
      <c r="R273" s="97" t="s">
        <v>5138</v>
      </c>
      <c r="S273" s="93">
        <v>200000</v>
      </c>
      <c r="T273" t="s">
        <v>25</v>
      </c>
      <c r="U273" s="205" t="s">
        <v>5103</v>
      </c>
      <c r="V273" s="205">
        <v>-828</v>
      </c>
      <c r="W273" s="111">
        <v>483.43312200000003</v>
      </c>
      <c r="X273" s="111">
        <f t="shared" si="60"/>
        <v>-400282.62501600001</v>
      </c>
      <c r="Y273" s="36" t="s">
        <v>452</v>
      </c>
      <c r="AI273" s="97">
        <v>253</v>
      </c>
      <c r="AJ273" s="111" t="s">
        <v>6930</v>
      </c>
      <c r="AK273" s="111">
        <v>30000000</v>
      </c>
      <c r="AL273" s="97">
        <v>1</v>
      </c>
      <c r="AM273" s="20">
        <f t="shared" si="58"/>
        <v>2</v>
      </c>
      <c r="AN273" s="115">
        <f t="shared" si="59"/>
        <v>60000000</v>
      </c>
      <c r="AO273" s="20" t="s">
        <v>6935</v>
      </c>
    </row>
    <row r="274" spans="7:44">
      <c r="G274" s="205" t="s">
        <v>6359</v>
      </c>
      <c r="H274" s="111">
        <v>567785.37859199999</v>
      </c>
      <c r="R274" s="97" t="s">
        <v>5148</v>
      </c>
      <c r="S274" s="93">
        <v>60000</v>
      </c>
      <c r="U274" s="205" t="s">
        <v>5106</v>
      </c>
      <c r="V274" s="205">
        <v>12</v>
      </c>
      <c r="W274" s="111">
        <v>473.61898300000001</v>
      </c>
      <c r="X274" s="111">
        <f t="shared" si="60"/>
        <v>5683.4277959999999</v>
      </c>
      <c r="Y274" s="36" t="s">
        <v>452</v>
      </c>
      <c r="AI274" s="97">
        <v>254</v>
      </c>
      <c r="AJ274" s="111" t="s">
        <v>6938</v>
      </c>
      <c r="AK274" s="111">
        <v>50000000</v>
      </c>
      <c r="AL274" s="97">
        <v>1</v>
      </c>
      <c r="AM274" s="20">
        <f t="shared" si="58"/>
        <v>1</v>
      </c>
      <c r="AN274" s="115">
        <f t="shared" si="59"/>
        <v>50000000</v>
      </c>
      <c r="AO274" s="20" t="s">
        <v>6935</v>
      </c>
      <c r="AQ274" t="s">
        <v>25</v>
      </c>
    </row>
    <row r="275" spans="7:44">
      <c r="G275" s="205" t="s">
        <v>6370</v>
      </c>
      <c r="H275" s="111">
        <v>189683.91675</v>
      </c>
      <c r="J275" t="s">
        <v>25</v>
      </c>
      <c r="R275" s="97" t="s">
        <v>5207</v>
      </c>
      <c r="S275" s="93">
        <v>-200000</v>
      </c>
      <c r="T275" t="s">
        <v>25</v>
      </c>
      <c r="U275" s="205" t="s">
        <v>5109</v>
      </c>
      <c r="V275" s="205">
        <v>963</v>
      </c>
      <c r="W275" s="111">
        <v>477.92200000000003</v>
      </c>
      <c r="X275" s="111">
        <f t="shared" si="60"/>
        <v>460238.886</v>
      </c>
      <c r="Y275" s="36" t="s">
        <v>452</v>
      </c>
      <c r="AI275" s="97"/>
      <c r="AJ275" s="111"/>
      <c r="AK275" s="111"/>
      <c r="AL275" s="97"/>
      <c r="AM275" s="20">
        <f t="shared" si="58"/>
        <v>0</v>
      </c>
      <c r="AN275" s="115">
        <f t="shared" si="59"/>
        <v>0</v>
      </c>
      <c r="AO275" s="20"/>
      <c r="AQ275" t="s">
        <v>25</v>
      </c>
    </row>
    <row r="276" spans="7:44">
      <c r="G276" s="205" t="s">
        <v>6371</v>
      </c>
      <c r="H276" s="111">
        <v>519135.75707200001</v>
      </c>
      <c r="R276" s="97" t="s">
        <v>5269</v>
      </c>
      <c r="S276" s="93">
        <v>-9000000</v>
      </c>
      <c r="U276" s="205" t="s">
        <v>5110</v>
      </c>
      <c r="V276" s="205">
        <v>2815</v>
      </c>
      <c r="W276" s="111">
        <v>461.79</v>
      </c>
      <c r="X276" s="111">
        <f t="shared" si="60"/>
        <v>1299938.8500000001</v>
      </c>
      <c r="Y276" s="36" t="s">
        <v>452</v>
      </c>
      <c r="AI276" s="97"/>
      <c r="AJ276" s="111"/>
      <c r="AK276" s="111"/>
      <c r="AL276" s="97"/>
      <c r="AM276" s="20">
        <f t="shared" si="58"/>
        <v>0</v>
      </c>
      <c r="AN276" s="115">
        <f t="shared" si="59"/>
        <v>0</v>
      </c>
      <c r="AO276" s="20"/>
    </row>
    <row r="277" spans="7:44">
      <c r="G277" s="205" t="s">
        <v>6377</v>
      </c>
      <c r="H277" s="111">
        <v>3406413.9029760002</v>
      </c>
      <c r="R277" s="97" t="s">
        <v>5326</v>
      </c>
      <c r="S277" s="93">
        <v>-26000000</v>
      </c>
      <c r="U277" s="205" t="s">
        <v>5110</v>
      </c>
      <c r="V277" s="205">
        <v>1581</v>
      </c>
      <c r="W277" s="111">
        <v>461.79</v>
      </c>
      <c r="X277" s="111">
        <f t="shared" si="60"/>
        <v>730089.99</v>
      </c>
      <c r="Y277" s="36" t="s">
        <v>452</v>
      </c>
      <c r="Z277" t="s">
        <v>25</v>
      </c>
      <c r="AI277" s="97"/>
      <c r="AJ277" s="111"/>
      <c r="AK277" s="111">
        <v>0</v>
      </c>
      <c r="AL277" s="97"/>
      <c r="AM277" s="20">
        <f t="shared" si="58"/>
        <v>0</v>
      </c>
      <c r="AN277" s="115">
        <f t="shared" si="59"/>
        <v>0</v>
      </c>
      <c r="AO277" s="20"/>
    </row>
    <row r="278" spans="7:44">
      <c r="G278" s="354" t="s">
        <v>6379</v>
      </c>
      <c r="H278" s="77">
        <v>435036.348168</v>
      </c>
      <c r="R278" s="97" t="s">
        <v>5330</v>
      </c>
      <c r="S278" s="93">
        <v>-95900000</v>
      </c>
      <c r="U278" s="205" t="s">
        <v>975</v>
      </c>
      <c r="V278" s="205">
        <v>41</v>
      </c>
      <c r="W278" s="111">
        <v>514.48099999999999</v>
      </c>
      <c r="X278" s="111">
        <f t="shared" si="60"/>
        <v>21093.721000000001</v>
      </c>
      <c r="Y278" s="36" t="s">
        <v>5095</v>
      </c>
      <c r="AI278" s="97"/>
      <c r="AJ278" s="111"/>
      <c r="AK278" s="111"/>
      <c r="AL278" s="97">
        <v>0</v>
      </c>
      <c r="AM278" s="20">
        <f t="shared" si="58"/>
        <v>0</v>
      </c>
      <c r="AN278" s="115">
        <f t="shared" si="59"/>
        <v>0</v>
      </c>
      <c r="AO278" s="20"/>
    </row>
    <row r="279" spans="7:44">
      <c r="G279" s="205" t="s">
        <v>6410</v>
      </c>
      <c r="H279" s="111">
        <v>2321535.4633200001</v>
      </c>
      <c r="R279" s="97" t="s">
        <v>5331</v>
      </c>
      <c r="S279" s="93">
        <v>-28950000</v>
      </c>
      <c r="T279" t="s">
        <v>25</v>
      </c>
      <c r="U279" s="205" t="s">
        <v>4253</v>
      </c>
      <c r="V279" s="205">
        <v>71</v>
      </c>
      <c r="W279" s="111">
        <v>482.57</v>
      </c>
      <c r="X279" s="111">
        <f t="shared" si="60"/>
        <v>34262.47</v>
      </c>
      <c r="Y279" s="36" t="s">
        <v>5095</v>
      </c>
      <c r="AI279" s="97"/>
      <c r="AJ279" s="97"/>
      <c r="AK279" s="93">
        <f>SUM(AK20:AK278)</f>
        <v>207433949.06156397</v>
      </c>
      <c r="AL279" s="97"/>
      <c r="AM279" s="97">
        <v>0</v>
      </c>
      <c r="AN279" s="93">
        <f>SUM(AN20:AN278)</f>
        <v>621652917598.33276</v>
      </c>
      <c r="AO279" s="93">
        <f>AN279*AO282/31</f>
        <v>334228683.14875525</v>
      </c>
    </row>
    <row r="280" spans="7:44">
      <c r="G280" s="205" t="s">
        <v>6691</v>
      </c>
      <c r="H280" s="111">
        <v>1098146.8035800001</v>
      </c>
      <c r="R280" s="97" t="s">
        <v>5473</v>
      </c>
      <c r="S280" s="93">
        <v>-93000000</v>
      </c>
      <c r="T280" t="s">
        <v>25</v>
      </c>
      <c r="U280" s="205" t="s">
        <v>5130</v>
      </c>
      <c r="V280" s="205">
        <v>-250</v>
      </c>
      <c r="W280" s="111">
        <v>487.125</v>
      </c>
      <c r="X280" s="111">
        <f t="shared" si="60"/>
        <v>-121781.25</v>
      </c>
      <c r="Y280" s="36" t="s">
        <v>4406</v>
      </c>
      <c r="AI280" s="97"/>
      <c r="AJ280" s="97"/>
      <c r="AK280" s="97" t="s">
        <v>4041</v>
      </c>
      <c r="AL280" s="97"/>
      <c r="AM280" s="97"/>
      <c r="AN280" s="97" t="s">
        <v>284</v>
      </c>
      <c r="AO280" s="97" t="s">
        <v>926</v>
      </c>
    </row>
    <row r="281" spans="7:44">
      <c r="G281" s="205" t="s">
        <v>6696</v>
      </c>
      <c r="H281" s="111">
        <v>540424.560405</v>
      </c>
      <c r="R281" s="97" t="s">
        <v>5482</v>
      </c>
      <c r="S281" s="93">
        <v>50000000</v>
      </c>
      <c r="U281" s="205" t="s">
        <v>5130</v>
      </c>
      <c r="V281" s="205">
        <v>250</v>
      </c>
      <c r="W281" s="111">
        <v>487.125</v>
      </c>
      <c r="X281" s="111">
        <f t="shared" si="60"/>
        <v>121781.25</v>
      </c>
      <c r="Y281" s="36" t="s">
        <v>743</v>
      </c>
      <c r="AI281" s="97"/>
      <c r="AJ281" s="97"/>
      <c r="AK281" s="97"/>
      <c r="AL281" s="97"/>
      <c r="AM281" s="97"/>
      <c r="AN281" s="97"/>
      <c r="AO281" s="97"/>
    </row>
    <row r="282" spans="7:44">
      <c r="G282" s="205" t="s">
        <v>6697</v>
      </c>
      <c r="H282" s="111">
        <v>2781712.2405709997</v>
      </c>
      <c r="R282" s="97" t="s">
        <v>4209</v>
      </c>
      <c r="S282" s="93">
        <v>2749471.1668000002</v>
      </c>
      <c r="U282" s="205" t="s">
        <v>5138</v>
      </c>
      <c r="V282" s="205">
        <v>-1439</v>
      </c>
      <c r="W282" s="111">
        <v>486.53068999999999</v>
      </c>
      <c r="X282" s="111">
        <f t="shared" si="60"/>
        <v>-700117.66290999996</v>
      </c>
      <c r="Y282" s="36" t="s">
        <v>4406</v>
      </c>
      <c r="AI282" s="97"/>
      <c r="AJ282" s="97"/>
      <c r="AK282" s="97"/>
      <c r="AL282" s="97"/>
      <c r="AM282" s="97"/>
      <c r="AN282" s="97" t="s">
        <v>4042</v>
      </c>
      <c r="AO282" s="97">
        <v>1.6667000000000001E-2</v>
      </c>
    </row>
    <row r="283" spans="7:44">
      <c r="G283" s="205" t="s">
        <v>6703</v>
      </c>
      <c r="H283" s="111">
        <v>109680.86334900001</v>
      </c>
      <c r="R283" s="97" t="s">
        <v>5571</v>
      </c>
      <c r="S283" s="93">
        <v>-680940.07019999996</v>
      </c>
      <c r="U283" s="205" t="s">
        <v>5138</v>
      </c>
      <c r="V283" s="205">
        <v>411</v>
      </c>
      <c r="W283" s="111">
        <v>486.53068999999999</v>
      </c>
      <c r="X283" s="111">
        <f t="shared" si="60"/>
        <v>199964.11358999999</v>
      </c>
      <c r="Y283" s="36" t="s">
        <v>743</v>
      </c>
      <c r="Z283" t="s">
        <v>25</v>
      </c>
      <c r="AI283" s="97"/>
      <c r="AJ283" s="97"/>
      <c r="AK283" s="97"/>
      <c r="AL283" s="97"/>
      <c r="AM283" s="97"/>
      <c r="AN283" s="97"/>
      <c r="AO283" s="97"/>
    </row>
    <row r="284" spans="7:44">
      <c r="G284" s="205" t="s">
        <v>6724</v>
      </c>
      <c r="H284" s="111">
        <v>13945790.265610002</v>
      </c>
      <c r="R284" s="97" t="s">
        <v>5571</v>
      </c>
      <c r="S284" s="93">
        <v>-48684800.338199995</v>
      </c>
      <c r="U284" s="205" t="s">
        <v>5108</v>
      </c>
      <c r="V284" s="205">
        <v>-4290</v>
      </c>
      <c r="W284" s="111">
        <v>497.57670000000002</v>
      </c>
      <c r="X284" s="111">
        <f t="shared" si="60"/>
        <v>-2134604.0430000001</v>
      </c>
      <c r="Y284" s="36" t="s">
        <v>452</v>
      </c>
      <c r="AI284" s="97"/>
      <c r="AJ284" s="97" t="s">
        <v>4043</v>
      </c>
      <c r="AK284" s="93">
        <f>AK279+AO279</f>
        <v>541662632.21031928</v>
      </c>
      <c r="AL284" s="97"/>
      <c r="AM284" s="97"/>
      <c r="AN284" s="97"/>
      <c r="AO284" s="97"/>
    </row>
    <row r="285" spans="7:44">
      <c r="G285" s="205" t="s">
        <v>6726</v>
      </c>
      <c r="H285" s="111">
        <v>457914.84466800001</v>
      </c>
      <c r="R285" s="97" t="s">
        <v>5595</v>
      </c>
      <c r="S285" s="93">
        <v>1500000</v>
      </c>
      <c r="T285" t="s">
        <v>25</v>
      </c>
      <c r="U285" s="205" t="s">
        <v>5145</v>
      </c>
      <c r="V285" s="205">
        <v>-644</v>
      </c>
      <c r="W285" s="111">
        <v>494.76464499999997</v>
      </c>
      <c r="X285" s="111">
        <f t="shared" si="60"/>
        <v>-318628.43137999997</v>
      </c>
      <c r="Y285" s="36" t="s">
        <v>452</v>
      </c>
      <c r="AJ285" t="s">
        <v>4046</v>
      </c>
      <c r="AK285" s="112">
        <f>SUM(N50:N59)</f>
        <v>7631670451</v>
      </c>
      <c r="AN285" t="s">
        <v>25</v>
      </c>
      <c r="AR285" t="s">
        <v>25</v>
      </c>
    </row>
    <row r="286" spans="7:44">
      <c r="G286" s="205" t="s">
        <v>6728</v>
      </c>
      <c r="H286" s="111">
        <v>974570.33942399989</v>
      </c>
      <c r="R286" s="97" t="s">
        <v>963</v>
      </c>
      <c r="S286" s="93">
        <v>11221062</v>
      </c>
      <c r="T286" t="s">
        <v>25</v>
      </c>
      <c r="U286" s="205" t="s">
        <v>5148</v>
      </c>
      <c r="V286" s="205">
        <v>-112</v>
      </c>
      <c r="W286" s="111">
        <v>485.78</v>
      </c>
      <c r="X286" s="111">
        <f t="shared" si="60"/>
        <v>-54407.360000000001</v>
      </c>
      <c r="Y286" s="36" t="s">
        <v>452</v>
      </c>
      <c r="AJ286" t="s">
        <v>4116</v>
      </c>
      <c r="AK286" s="112">
        <f>AK285-AK279</f>
        <v>7424236501.9384365</v>
      </c>
      <c r="AN286" t="s">
        <v>25</v>
      </c>
    </row>
    <row r="287" spans="7:44">
      <c r="G287" s="205" t="s">
        <v>6730</v>
      </c>
      <c r="H287" s="111">
        <v>746198.52596400003</v>
      </c>
      <c r="J287" t="s">
        <v>25</v>
      </c>
      <c r="O287" t="s">
        <v>25</v>
      </c>
      <c r="R287" s="97" t="s">
        <v>5801</v>
      </c>
      <c r="S287" s="93">
        <v>20031495.928431001</v>
      </c>
      <c r="U287" s="205" t="s">
        <v>5148</v>
      </c>
      <c r="V287" s="205">
        <v>123</v>
      </c>
      <c r="W287" s="111">
        <v>485.78</v>
      </c>
      <c r="X287" s="111">
        <f t="shared" si="60"/>
        <v>59750.939999999995</v>
      </c>
      <c r="Y287" s="36" t="s">
        <v>743</v>
      </c>
      <c r="AJ287" t="s">
        <v>926</v>
      </c>
      <c r="AK287" s="112">
        <f>AO279</f>
        <v>334228683.14875525</v>
      </c>
      <c r="AO287" t="s">
        <v>25</v>
      </c>
    </row>
    <row r="288" spans="7:44">
      <c r="G288" s="205" t="s">
        <v>6732</v>
      </c>
      <c r="H288" s="111">
        <v>416108</v>
      </c>
      <c r="R288" s="97" t="s">
        <v>5812</v>
      </c>
      <c r="S288" s="93">
        <v>-154353015.43906799</v>
      </c>
      <c r="T288" t="s">
        <v>25</v>
      </c>
      <c r="U288" s="205" t="s">
        <v>5148</v>
      </c>
      <c r="V288" s="205">
        <v>-123</v>
      </c>
      <c r="W288" s="111">
        <v>485.78</v>
      </c>
      <c r="X288" s="111">
        <f t="shared" si="60"/>
        <v>-59750.939999999995</v>
      </c>
      <c r="Y288" s="36" t="s">
        <v>4406</v>
      </c>
      <c r="AJ288" t="s">
        <v>4047</v>
      </c>
      <c r="AK288" s="112">
        <f>AK285-AK284</f>
        <v>7090007818.7896805</v>
      </c>
      <c r="AO288" t="s">
        <v>25</v>
      </c>
    </row>
    <row r="289" spans="7:45">
      <c r="G289" s="205" t="s">
        <v>6744</v>
      </c>
      <c r="H289" s="111">
        <v>361620.57555000001</v>
      </c>
      <c r="R289" s="97" t="s">
        <v>5831</v>
      </c>
      <c r="S289" s="93">
        <v>16643927.89773</v>
      </c>
      <c r="T289" t="s">
        <v>25</v>
      </c>
      <c r="U289" s="205" t="s">
        <v>5191</v>
      </c>
      <c r="V289" s="205">
        <v>32367</v>
      </c>
      <c r="W289" s="111">
        <v>556.12900000000002</v>
      </c>
      <c r="X289" s="111">
        <f t="shared" si="60"/>
        <v>18000227.343000002</v>
      </c>
      <c r="Y289" s="36" t="s">
        <v>452</v>
      </c>
      <c r="AN289" t="s">
        <v>25</v>
      </c>
    </row>
    <row r="290" spans="7:45">
      <c r="G290" s="205" t="s">
        <v>6745</v>
      </c>
      <c r="H290" s="111">
        <v>761310.51884999999</v>
      </c>
      <c r="R290" s="97" t="s">
        <v>5832</v>
      </c>
      <c r="S290" s="93">
        <v>33355467.51292</v>
      </c>
      <c r="U290" s="205" t="s">
        <v>5207</v>
      </c>
      <c r="V290" s="205">
        <v>1254</v>
      </c>
      <c r="W290" s="111">
        <v>558.24400000000003</v>
      </c>
      <c r="X290" s="111">
        <f t="shared" si="60"/>
        <v>700037.97600000002</v>
      </c>
      <c r="Y290" s="36" t="s">
        <v>4406</v>
      </c>
      <c r="AK290" t="s">
        <v>25</v>
      </c>
    </row>
    <row r="291" spans="7:45">
      <c r="G291" s="205" t="s">
        <v>6747</v>
      </c>
      <c r="H291" s="111">
        <v>3047100.3041699999</v>
      </c>
      <c r="R291" s="97" t="s">
        <v>6182</v>
      </c>
      <c r="S291" s="93">
        <v>30000000</v>
      </c>
      <c r="T291" t="s">
        <v>25</v>
      </c>
      <c r="U291" s="166" t="s">
        <v>5207</v>
      </c>
      <c r="V291" s="205">
        <v>-358</v>
      </c>
      <c r="W291" s="111">
        <v>558.24400000000003</v>
      </c>
      <c r="X291" s="111">
        <f t="shared" si="60"/>
        <v>-199851.35200000001</v>
      </c>
      <c r="Y291" s="36" t="s">
        <v>743</v>
      </c>
      <c r="AA291" t="s">
        <v>25</v>
      </c>
    </row>
    <row r="292" spans="7:45">
      <c r="G292" s="205" t="s">
        <v>6749</v>
      </c>
      <c r="H292" s="111">
        <v>2437078.451072</v>
      </c>
      <c r="I292" t="s">
        <v>25</v>
      </c>
      <c r="R292" s="97" t="s">
        <v>6195</v>
      </c>
      <c r="S292" s="93">
        <v>6000000</v>
      </c>
      <c r="U292" s="187" t="s">
        <v>5226</v>
      </c>
      <c r="V292" s="187">
        <v>63259</v>
      </c>
      <c r="W292" s="186">
        <v>632.31960000000004</v>
      </c>
      <c r="X292" s="186">
        <f t="shared" si="60"/>
        <v>39999905.576400004</v>
      </c>
      <c r="Y292" s="258" t="s">
        <v>1069</v>
      </c>
    </row>
    <row r="293" spans="7:45">
      <c r="G293" s="205" t="s">
        <v>6825</v>
      </c>
      <c r="H293" s="111">
        <v>7747639.4065840002</v>
      </c>
      <c r="J293" t="s">
        <v>25</v>
      </c>
      <c r="K293" t="s">
        <v>25</v>
      </c>
      <c r="R293" s="97" t="s">
        <v>6268</v>
      </c>
      <c r="S293" s="93">
        <v>126128.77475900001</v>
      </c>
      <c r="U293" s="19" t="s">
        <v>5230</v>
      </c>
      <c r="V293" s="19">
        <v>-1278</v>
      </c>
      <c r="W293" s="115">
        <v>625.98</v>
      </c>
      <c r="X293" s="115">
        <f t="shared" si="60"/>
        <v>-800002.44000000006</v>
      </c>
      <c r="Y293" s="259" t="s">
        <v>5231</v>
      </c>
    </row>
    <row r="294" spans="7:45">
      <c r="G294" s="205" t="s">
        <v>6826</v>
      </c>
      <c r="H294" s="111">
        <v>5584918.3522559991</v>
      </c>
      <c r="R294" s="97" t="s">
        <v>6827</v>
      </c>
      <c r="S294" s="93">
        <v>7000000</v>
      </c>
      <c r="U294" s="19" t="s">
        <v>5235</v>
      </c>
      <c r="V294" s="19">
        <v>32049</v>
      </c>
      <c r="W294" s="115">
        <v>624.04600000000005</v>
      </c>
      <c r="X294" s="115">
        <f t="shared" si="60"/>
        <v>20000050.254000001</v>
      </c>
      <c r="Y294" s="259" t="s">
        <v>5100</v>
      </c>
      <c r="AA294" t="s">
        <v>25</v>
      </c>
    </row>
    <row r="295" spans="7:45" ht="30">
      <c r="G295" s="205" t="s">
        <v>6827</v>
      </c>
      <c r="H295" s="111">
        <v>573666.77206800005</v>
      </c>
      <c r="O295" t="s">
        <v>25</v>
      </c>
      <c r="R295" s="97" t="s">
        <v>6922</v>
      </c>
      <c r="S295" s="93">
        <v>-450269000</v>
      </c>
      <c r="T295" t="s">
        <v>25</v>
      </c>
      <c r="U295" s="19" t="s">
        <v>5242</v>
      </c>
      <c r="V295" s="19">
        <v>45094</v>
      </c>
      <c r="W295" s="115">
        <v>614.13559759999998</v>
      </c>
      <c r="X295" s="115">
        <f t="shared" si="60"/>
        <v>27693830.6381744</v>
      </c>
      <c r="Y295" s="259" t="s">
        <v>5244</v>
      </c>
      <c r="Z295" t="s">
        <v>25</v>
      </c>
      <c r="AI295" s="97" t="s">
        <v>3623</v>
      </c>
      <c r="AJ295" s="97" t="s">
        <v>180</v>
      </c>
      <c r="AK295" s="97" t="s">
        <v>267</v>
      </c>
      <c r="AL295" s="97" t="s">
        <v>4040</v>
      </c>
      <c r="AM295" s="97" t="s">
        <v>4032</v>
      </c>
      <c r="AN295" s="97" t="s">
        <v>282</v>
      </c>
      <c r="AO295" s="97" t="s">
        <v>4265</v>
      </c>
    </row>
    <row r="296" spans="7:45">
      <c r="G296" s="205" t="s">
        <v>6832</v>
      </c>
      <c r="H296" s="111">
        <v>1870018.6536539998</v>
      </c>
      <c r="J296" t="s">
        <v>25</v>
      </c>
      <c r="R296" s="97" t="s">
        <v>6930</v>
      </c>
      <c r="S296" s="93">
        <v>50000000</v>
      </c>
      <c r="U296" s="19" t="s">
        <v>5269</v>
      </c>
      <c r="V296" s="19">
        <v>-11804</v>
      </c>
      <c r="W296" s="115">
        <v>762.46640000000002</v>
      </c>
      <c r="X296" s="115">
        <f t="shared" si="60"/>
        <v>-9000153.3856000006</v>
      </c>
      <c r="Y296" s="259" t="s">
        <v>5271</v>
      </c>
      <c r="AI296" s="97">
        <v>1</v>
      </c>
      <c r="AJ296" s="97" t="s">
        <v>3931</v>
      </c>
      <c r="AK296" s="115">
        <v>3555820</v>
      </c>
      <c r="AL296" s="97">
        <v>2</v>
      </c>
      <c r="AM296" s="97">
        <f>AL296+AM297</f>
        <v>991</v>
      </c>
      <c r="AN296" s="97">
        <f>AK296*AM296</f>
        <v>3523817620</v>
      </c>
      <c r="AO296" s="97" t="s">
        <v>4283</v>
      </c>
    </row>
    <row r="297" spans="7:45">
      <c r="G297" s="205" t="s">
        <v>6838</v>
      </c>
      <c r="H297" s="111">
        <v>117222.435308</v>
      </c>
      <c r="R297" s="97" t="s">
        <v>6937</v>
      </c>
      <c r="S297" s="93">
        <v>50000000</v>
      </c>
      <c r="U297" s="19" t="s">
        <v>5312</v>
      </c>
      <c r="V297" s="19">
        <v>844</v>
      </c>
      <c r="W297" s="115">
        <v>830</v>
      </c>
      <c r="X297" s="115">
        <f t="shared" si="60"/>
        <v>700520</v>
      </c>
      <c r="Y297" s="259" t="s">
        <v>4406</v>
      </c>
      <c r="Z297" t="s">
        <v>25</v>
      </c>
      <c r="AI297" s="97">
        <v>2</v>
      </c>
      <c r="AJ297" s="97" t="s">
        <v>4006</v>
      </c>
      <c r="AK297" s="115">
        <v>1720837</v>
      </c>
      <c r="AL297" s="97">
        <v>51</v>
      </c>
      <c r="AM297" s="97">
        <f t="shared" ref="AM297:AM306" si="61">AL297+AM298</f>
        <v>989</v>
      </c>
      <c r="AN297" s="97">
        <f t="shared" ref="AN297:AN325" si="62">AK297*AM297</f>
        <v>1701907793</v>
      </c>
      <c r="AO297" s="97" t="s">
        <v>4284</v>
      </c>
    </row>
    <row r="298" spans="7:45">
      <c r="G298" s="205" t="s">
        <v>6840</v>
      </c>
      <c r="H298" s="111">
        <v>1940857.6749900002</v>
      </c>
      <c r="R298" s="97" t="s">
        <v>6938</v>
      </c>
      <c r="S298" s="93">
        <v>50000000</v>
      </c>
      <c r="T298" t="s">
        <v>25</v>
      </c>
      <c r="U298" s="19" t="s">
        <v>5316</v>
      </c>
      <c r="V298" s="19">
        <v>8662</v>
      </c>
      <c r="W298" s="115">
        <v>832.57011999999997</v>
      </c>
      <c r="X298" s="115">
        <f t="shared" si="60"/>
        <v>7211722.3794399993</v>
      </c>
      <c r="Y298" s="259" t="s">
        <v>5095</v>
      </c>
      <c r="AA298" t="s">
        <v>25</v>
      </c>
      <c r="AI298" s="97">
        <v>3</v>
      </c>
      <c r="AJ298" s="97" t="s">
        <v>4110</v>
      </c>
      <c r="AK298" s="115">
        <v>150000</v>
      </c>
      <c r="AL298" s="97">
        <v>3</v>
      </c>
      <c r="AM298" s="97">
        <f t="shared" si="61"/>
        <v>938</v>
      </c>
      <c r="AN298" s="97">
        <f t="shared" si="62"/>
        <v>140700000</v>
      </c>
      <c r="AO298" s="97"/>
    </row>
    <row r="299" spans="7:45" ht="30">
      <c r="G299" s="205" t="s">
        <v>6861</v>
      </c>
      <c r="H299" s="111">
        <v>195324.59944799999</v>
      </c>
      <c r="R299" s="97" t="s">
        <v>6939</v>
      </c>
      <c r="S299" s="93">
        <v>50000000</v>
      </c>
      <c r="U299" s="19" t="s">
        <v>5317</v>
      </c>
      <c r="V299" s="19">
        <v>10253</v>
      </c>
      <c r="W299" s="115">
        <v>827.2568</v>
      </c>
      <c r="X299" s="115">
        <f t="shared" si="60"/>
        <v>8481863.9704</v>
      </c>
      <c r="Y299" s="259" t="s">
        <v>5320</v>
      </c>
      <c r="AB299" t="s">
        <v>25</v>
      </c>
      <c r="AI299" s="97">
        <v>4</v>
      </c>
      <c r="AJ299" s="97" t="s">
        <v>4125</v>
      </c>
      <c r="AK299" s="115">
        <v>-95000</v>
      </c>
      <c r="AL299" s="97">
        <v>8</v>
      </c>
      <c r="AM299" s="97">
        <f t="shared" si="61"/>
        <v>935</v>
      </c>
      <c r="AN299" s="97">
        <f t="shared" si="62"/>
        <v>-88825000</v>
      </c>
      <c r="AO299" s="97"/>
    </row>
    <row r="300" spans="7:45">
      <c r="G300" s="205" t="s">
        <v>6861</v>
      </c>
      <c r="H300" s="111">
        <v>20318581.172208</v>
      </c>
      <c r="R300" s="97" t="s">
        <v>6940</v>
      </c>
      <c r="S300" s="93">
        <v>100000000</v>
      </c>
      <c r="T300" t="s">
        <v>25</v>
      </c>
      <c r="U300" s="229" t="s">
        <v>5321</v>
      </c>
      <c r="V300" s="229">
        <v>-33077</v>
      </c>
      <c r="W300" s="230">
        <v>786.02973999999995</v>
      </c>
      <c r="X300" s="230">
        <f t="shared" si="60"/>
        <v>-25999505.70998</v>
      </c>
      <c r="Y300" s="267" t="s">
        <v>5323</v>
      </c>
      <c r="AI300" s="97">
        <v>5</v>
      </c>
      <c r="AJ300" s="97" t="s">
        <v>4149</v>
      </c>
      <c r="AK300" s="115">
        <v>3150000</v>
      </c>
      <c r="AL300" s="97">
        <v>16</v>
      </c>
      <c r="AM300" s="97">
        <f t="shared" si="61"/>
        <v>927</v>
      </c>
      <c r="AN300" s="97">
        <f t="shared" si="62"/>
        <v>2920050000</v>
      </c>
      <c r="AO300" s="97"/>
      <c r="AS300" t="s">
        <v>25</v>
      </c>
    </row>
    <row r="301" spans="7:45">
      <c r="G301" s="205" t="s">
        <v>6863</v>
      </c>
      <c r="H301" s="111">
        <v>2893976.613864</v>
      </c>
      <c r="R301" s="97" t="s">
        <v>6943</v>
      </c>
      <c r="S301" s="93">
        <v>50000000</v>
      </c>
      <c r="T301" t="s">
        <v>25</v>
      </c>
      <c r="U301" s="19" t="s">
        <v>5321</v>
      </c>
      <c r="V301" s="19">
        <v>-33077</v>
      </c>
      <c r="W301" s="115">
        <v>786.02973999999995</v>
      </c>
      <c r="X301" s="115">
        <f t="shared" si="60"/>
        <v>-25999505.70998</v>
      </c>
      <c r="Y301" s="259" t="s">
        <v>5324</v>
      </c>
      <c r="Z301" t="s">
        <v>25</v>
      </c>
      <c r="AI301" s="97">
        <v>6</v>
      </c>
      <c r="AJ301" s="97" t="s">
        <v>4214</v>
      </c>
      <c r="AK301" s="115">
        <v>-65000</v>
      </c>
      <c r="AL301" s="97">
        <v>1</v>
      </c>
      <c r="AM301" s="97">
        <f t="shared" si="61"/>
        <v>911</v>
      </c>
      <c r="AN301" s="97">
        <f t="shared" si="62"/>
        <v>-59215000</v>
      </c>
      <c r="AO301" s="97"/>
    </row>
    <row r="302" spans="7:45">
      <c r="G302" s="205" t="s">
        <v>6864</v>
      </c>
      <c r="H302" s="111">
        <v>348175.86130300001</v>
      </c>
      <c r="R302" s="97" t="s">
        <v>6945</v>
      </c>
      <c r="S302" s="93">
        <v>11300000</v>
      </c>
      <c r="U302" s="19" t="s">
        <v>5321</v>
      </c>
      <c r="V302" s="19">
        <v>1983</v>
      </c>
      <c r="W302" s="115">
        <v>786.02973999999995</v>
      </c>
      <c r="X302" s="115">
        <f t="shared" si="60"/>
        <v>1558696.9744199999</v>
      </c>
      <c r="Y302" s="259" t="s">
        <v>5095</v>
      </c>
      <c r="AI302" s="97">
        <v>7</v>
      </c>
      <c r="AJ302" s="97" t="s">
        <v>4285</v>
      </c>
      <c r="AK302" s="115">
        <v>-95000</v>
      </c>
      <c r="AL302" s="97">
        <v>6</v>
      </c>
      <c r="AM302" s="97">
        <f t="shared" si="61"/>
        <v>910</v>
      </c>
      <c r="AN302" s="97">
        <f t="shared" si="62"/>
        <v>-86450000</v>
      </c>
      <c r="AO302" s="97"/>
    </row>
    <row r="303" spans="7:45">
      <c r="G303" s="205" t="s">
        <v>6867</v>
      </c>
      <c r="H303" s="111">
        <v>315280.48550000001</v>
      </c>
      <c r="O303" t="s">
        <v>25</v>
      </c>
      <c r="R303" s="97" t="s">
        <v>6945</v>
      </c>
      <c r="S303" s="93">
        <v>65111600</v>
      </c>
      <c r="U303" s="229" t="s">
        <v>5325</v>
      </c>
      <c r="V303" s="229">
        <v>-119753</v>
      </c>
      <c r="W303" s="230">
        <v>800.81560000000002</v>
      </c>
      <c r="X303" s="230">
        <f t="shared" si="60"/>
        <v>-95900070.546800002</v>
      </c>
      <c r="Y303" s="267" t="s">
        <v>5323</v>
      </c>
      <c r="AI303" s="97">
        <v>8</v>
      </c>
      <c r="AJ303" s="97" t="s">
        <v>4286</v>
      </c>
      <c r="AK303" s="115">
        <v>232000</v>
      </c>
      <c r="AL303" s="97">
        <v>7</v>
      </c>
      <c r="AM303" s="97">
        <f t="shared" si="61"/>
        <v>904</v>
      </c>
      <c r="AN303" s="97">
        <f t="shared" si="62"/>
        <v>209728000</v>
      </c>
      <c r="AO303" s="97"/>
    </row>
    <row r="304" spans="7:45">
      <c r="G304" s="205" t="s">
        <v>6871</v>
      </c>
      <c r="H304" s="111">
        <v>184045.65498799999</v>
      </c>
      <c r="R304" s="97" t="s">
        <v>6949</v>
      </c>
      <c r="S304" s="93">
        <v>25000000</v>
      </c>
      <c r="U304" s="19" t="s">
        <v>5325</v>
      </c>
      <c r="V304" s="19">
        <v>-119753</v>
      </c>
      <c r="W304" s="115">
        <v>800.81560000000002</v>
      </c>
      <c r="X304" s="115">
        <f t="shared" si="60"/>
        <v>-95900070.546800002</v>
      </c>
      <c r="Y304" s="259" t="s">
        <v>5324</v>
      </c>
      <c r="AI304" s="97">
        <v>9</v>
      </c>
      <c r="AJ304" s="97" t="s">
        <v>4264</v>
      </c>
      <c r="AK304" s="115">
        <v>13000000</v>
      </c>
      <c r="AL304" s="97">
        <v>2</v>
      </c>
      <c r="AM304" s="97">
        <f t="shared" si="61"/>
        <v>897</v>
      </c>
      <c r="AN304" s="97">
        <f t="shared" si="62"/>
        <v>11661000000</v>
      </c>
      <c r="AO304" s="97"/>
    </row>
    <row r="305" spans="7:41">
      <c r="G305" s="434" t="s">
        <v>6890</v>
      </c>
      <c r="H305" s="435">
        <v>3224064.2855249997</v>
      </c>
      <c r="J305" t="s">
        <v>25</v>
      </c>
      <c r="P305" t="s">
        <v>25</v>
      </c>
      <c r="R305" s="97"/>
      <c r="S305" s="93"/>
      <c r="U305" s="19" t="s">
        <v>5325</v>
      </c>
      <c r="V305" s="19">
        <v>11291</v>
      </c>
      <c r="W305" s="115">
        <v>800.81560000000002</v>
      </c>
      <c r="X305" s="115">
        <f t="shared" si="60"/>
        <v>9042008.9396000002</v>
      </c>
      <c r="Y305" s="259" t="s">
        <v>452</v>
      </c>
      <c r="AB305" t="s">
        <v>25</v>
      </c>
      <c r="AI305" s="97">
        <v>10</v>
      </c>
      <c r="AJ305" s="97" t="s">
        <v>4287</v>
      </c>
      <c r="AK305" s="115">
        <v>10000000</v>
      </c>
      <c r="AL305" s="97">
        <v>3</v>
      </c>
      <c r="AM305" s="97">
        <f t="shared" si="61"/>
        <v>895</v>
      </c>
      <c r="AN305" s="97">
        <f t="shared" si="62"/>
        <v>8950000000</v>
      </c>
      <c r="AO305" s="97"/>
    </row>
    <row r="306" spans="7:41">
      <c r="G306" s="205" t="s">
        <v>6891</v>
      </c>
      <c r="H306" s="111">
        <v>145302.32212200001</v>
      </c>
      <c r="R306" s="97"/>
      <c r="S306" s="93"/>
      <c r="U306" s="187" t="s">
        <v>5326</v>
      </c>
      <c r="V306" s="187">
        <v>-35361</v>
      </c>
      <c r="W306" s="186">
        <v>818.697</v>
      </c>
      <c r="X306" s="186">
        <f t="shared" si="60"/>
        <v>-28949944.616999999</v>
      </c>
      <c r="Y306" s="258" t="s">
        <v>5323</v>
      </c>
      <c r="Z306" t="s">
        <v>25</v>
      </c>
      <c r="AI306" s="97">
        <v>11</v>
      </c>
      <c r="AJ306" s="97" t="s">
        <v>4276</v>
      </c>
      <c r="AK306" s="115">
        <v>3400000</v>
      </c>
      <c r="AL306" s="97">
        <v>9</v>
      </c>
      <c r="AM306" s="97">
        <f t="shared" si="61"/>
        <v>892</v>
      </c>
      <c r="AN306" s="97">
        <f t="shared" si="62"/>
        <v>3032800000</v>
      </c>
      <c r="AO306" s="97"/>
    </row>
    <row r="307" spans="7:41">
      <c r="G307" s="205" t="s">
        <v>6893</v>
      </c>
      <c r="H307" s="111">
        <v>7184125.4612399992</v>
      </c>
      <c r="R307" s="97"/>
      <c r="S307" s="93"/>
      <c r="U307" s="19" t="s">
        <v>5326</v>
      </c>
      <c r="V307" s="19">
        <v>-35361</v>
      </c>
      <c r="W307" s="115">
        <v>818.697</v>
      </c>
      <c r="X307" s="115">
        <f t="shared" si="60"/>
        <v>-28949944.616999999</v>
      </c>
      <c r="Y307" s="259" t="s">
        <v>5324</v>
      </c>
      <c r="Z307" t="s">
        <v>25</v>
      </c>
      <c r="AA307" t="s">
        <v>25</v>
      </c>
      <c r="AI307" s="97">
        <v>12</v>
      </c>
      <c r="AJ307" s="97" t="s">
        <v>4313</v>
      </c>
      <c r="AK307" s="115">
        <v>-8736514</v>
      </c>
      <c r="AL307" s="97">
        <v>1</v>
      </c>
      <c r="AM307" s="97">
        <f>AL307+AM308</f>
        <v>883</v>
      </c>
      <c r="AN307" s="97">
        <f t="shared" si="62"/>
        <v>-7714341862</v>
      </c>
      <c r="AO307" s="97"/>
    </row>
    <row r="308" spans="7:41">
      <c r="G308" s="205" t="s">
        <v>6895</v>
      </c>
      <c r="H308" s="111">
        <v>8260484.4756000005</v>
      </c>
      <c r="R308" s="97" t="s">
        <v>25</v>
      </c>
      <c r="S308" s="93"/>
      <c r="U308" s="19" t="s">
        <v>5326</v>
      </c>
      <c r="V308" s="19">
        <v>116</v>
      </c>
      <c r="W308" s="115">
        <v>818.697</v>
      </c>
      <c r="X308" s="115">
        <f t="shared" si="60"/>
        <v>94968.851999999999</v>
      </c>
      <c r="Y308" s="259" t="s">
        <v>5095</v>
      </c>
      <c r="AI308" s="97">
        <v>13</v>
      </c>
      <c r="AJ308" s="97" t="s">
        <v>4314</v>
      </c>
      <c r="AK308" s="115">
        <v>555000</v>
      </c>
      <c r="AL308" s="97">
        <v>5</v>
      </c>
      <c r="AM308" s="97">
        <f t="shared" ref="AM308:AM324" si="63">AL308+AM309</f>
        <v>882</v>
      </c>
      <c r="AN308" s="97">
        <f t="shared" si="62"/>
        <v>489510000</v>
      </c>
      <c r="AO308" s="97"/>
    </row>
    <row r="309" spans="7:41">
      <c r="G309" s="205" t="s">
        <v>6896</v>
      </c>
      <c r="H309" s="111">
        <v>2791202.6544840001</v>
      </c>
      <c r="R309" s="97"/>
      <c r="S309" s="93">
        <f>SUM(S236:S308)</f>
        <v>159985222.43317199</v>
      </c>
      <c r="U309" s="19" t="s">
        <v>5330</v>
      </c>
      <c r="V309" s="19">
        <v>48633</v>
      </c>
      <c r="W309" s="115">
        <v>822.47199999999998</v>
      </c>
      <c r="X309" s="115">
        <f t="shared" si="60"/>
        <v>39999280.776000001</v>
      </c>
      <c r="Y309" s="259" t="s">
        <v>5333</v>
      </c>
      <c r="AB309" t="s">
        <v>25</v>
      </c>
      <c r="AI309" s="97">
        <v>14</v>
      </c>
      <c r="AJ309" s="97" t="s">
        <v>4338</v>
      </c>
      <c r="AK309" s="115">
        <v>-448308</v>
      </c>
      <c r="AL309" s="97">
        <v>6</v>
      </c>
      <c r="AM309" s="97">
        <f t="shared" si="63"/>
        <v>877</v>
      </c>
      <c r="AN309" s="97">
        <f t="shared" si="62"/>
        <v>-393166116</v>
      </c>
      <c r="AO309" s="97"/>
    </row>
    <row r="310" spans="7:41">
      <c r="G310" s="205" t="s">
        <v>6897</v>
      </c>
      <c r="H310" s="111">
        <v>248142.0681</v>
      </c>
      <c r="O310" t="s">
        <v>25</v>
      </c>
      <c r="S310" s="97" t="s">
        <v>6</v>
      </c>
      <c r="U310" s="19" t="s">
        <v>5330</v>
      </c>
      <c r="V310" s="19">
        <v>3412</v>
      </c>
      <c r="W310" s="115">
        <v>822.47199999999998</v>
      </c>
      <c r="X310" s="115">
        <f t="shared" si="60"/>
        <v>2806274.4640000002</v>
      </c>
      <c r="Y310" s="259" t="s">
        <v>5335</v>
      </c>
      <c r="AI310" s="97">
        <v>15</v>
      </c>
      <c r="AJ310" s="97" t="s">
        <v>4365</v>
      </c>
      <c r="AK310" s="115">
        <v>33225</v>
      </c>
      <c r="AL310" s="97">
        <v>0</v>
      </c>
      <c r="AM310" s="97">
        <f t="shared" si="63"/>
        <v>871</v>
      </c>
      <c r="AN310" s="97">
        <f t="shared" si="62"/>
        <v>28938975</v>
      </c>
      <c r="AO310" s="97"/>
    </row>
    <row r="311" spans="7:41">
      <c r="G311" s="205" t="s">
        <v>6922</v>
      </c>
      <c r="H311" s="111">
        <v>3374278.1910000001</v>
      </c>
      <c r="J311" t="s">
        <v>25</v>
      </c>
      <c r="S311" t="s">
        <v>25</v>
      </c>
      <c r="T311" s="112"/>
      <c r="U311" s="19" t="s">
        <v>5331</v>
      </c>
      <c r="V311" s="19">
        <v>1531</v>
      </c>
      <c r="W311" s="115">
        <v>869.82500000000005</v>
      </c>
      <c r="X311" s="115">
        <f t="shared" si="60"/>
        <v>1331702.075</v>
      </c>
      <c r="Y311" s="259" t="s">
        <v>5336</v>
      </c>
      <c r="AI311" s="147">
        <v>16</v>
      </c>
      <c r="AJ311" s="147" t="s">
        <v>4365</v>
      </c>
      <c r="AK311" s="186">
        <v>4098523</v>
      </c>
      <c r="AL311" s="147">
        <v>2</v>
      </c>
      <c r="AM311" s="147">
        <f t="shared" si="63"/>
        <v>871</v>
      </c>
      <c r="AN311" s="147">
        <f t="shared" si="62"/>
        <v>3569813533</v>
      </c>
      <c r="AO311" s="147" t="s">
        <v>649</v>
      </c>
    </row>
    <row r="312" spans="7:41">
      <c r="G312" s="205" t="s">
        <v>6945</v>
      </c>
      <c r="H312" s="111">
        <v>2616960</v>
      </c>
      <c r="J312" t="s">
        <v>25</v>
      </c>
      <c r="R312" s="97" t="s">
        <v>452</v>
      </c>
      <c r="U312" s="19" t="s">
        <v>5339</v>
      </c>
      <c r="V312" s="19">
        <v>1019</v>
      </c>
      <c r="W312" s="115">
        <v>835.36580000000004</v>
      </c>
      <c r="X312" s="115">
        <f t="shared" si="60"/>
        <v>851237.75020000001</v>
      </c>
      <c r="Y312" s="259" t="s">
        <v>452</v>
      </c>
      <c r="AI312" s="147">
        <v>17</v>
      </c>
      <c r="AJ312" s="147" t="s">
        <v>4376</v>
      </c>
      <c r="AK312" s="186">
        <v>-1000000</v>
      </c>
      <c r="AL312" s="147">
        <v>7</v>
      </c>
      <c r="AM312" s="147">
        <f t="shared" si="63"/>
        <v>869</v>
      </c>
      <c r="AN312" s="147">
        <f t="shared" si="62"/>
        <v>-869000000</v>
      </c>
      <c r="AO312" s="147" t="s">
        <v>649</v>
      </c>
    </row>
    <row r="313" spans="7:41">
      <c r="G313" s="205" t="s">
        <v>6952</v>
      </c>
      <c r="H313" s="111">
        <v>253557.36216800002</v>
      </c>
      <c r="R313" s="97" t="s">
        <v>4399</v>
      </c>
      <c r="S313" s="97"/>
      <c r="U313" s="187" t="s">
        <v>5345</v>
      </c>
      <c r="V313" s="187">
        <v>2316</v>
      </c>
      <c r="W313" s="186">
        <v>818.697</v>
      </c>
      <c r="X313" s="186">
        <f t="shared" si="60"/>
        <v>1896102.2520000001</v>
      </c>
      <c r="Y313" s="258" t="s">
        <v>5348</v>
      </c>
      <c r="AI313" s="147">
        <v>18</v>
      </c>
      <c r="AJ313" s="147" t="s">
        <v>4396</v>
      </c>
      <c r="AK313" s="186">
        <v>750000</v>
      </c>
      <c r="AL313" s="147">
        <v>1</v>
      </c>
      <c r="AM313" s="147">
        <f t="shared" si="63"/>
        <v>862</v>
      </c>
      <c r="AN313" s="147">
        <f t="shared" si="62"/>
        <v>646500000</v>
      </c>
      <c r="AO313" s="147" t="s">
        <v>649</v>
      </c>
    </row>
    <row r="314" spans="7:41">
      <c r="G314" s="205" t="s">
        <v>6955</v>
      </c>
      <c r="H314" s="111">
        <v>933193.93063399999</v>
      </c>
      <c r="R314" s="97" t="s">
        <v>4442</v>
      </c>
      <c r="S314" s="93">
        <v>63115000</v>
      </c>
      <c r="U314" s="19" t="s">
        <v>5351</v>
      </c>
      <c r="V314" s="19">
        <v>315</v>
      </c>
      <c r="W314" s="115">
        <v>680</v>
      </c>
      <c r="X314" s="115">
        <f t="shared" si="60"/>
        <v>214200</v>
      </c>
      <c r="Y314" s="259" t="s">
        <v>5095</v>
      </c>
      <c r="AI314" s="191">
        <v>19</v>
      </c>
      <c r="AJ314" s="191" t="s">
        <v>4397</v>
      </c>
      <c r="AK314" s="192">
        <v>-604152</v>
      </c>
      <c r="AL314" s="191">
        <v>0</v>
      </c>
      <c r="AM314" s="191">
        <f t="shared" si="63"/>
        <v>861</v>
      </c>
      <c r="AN314" s="191">
        <f t="shared" si="62"/>
        <v>-520174872</v>
      </c>
      <c r="AO314" s="191" t="s">
        <v>649</v>
      </c>
    </row>
    <row r="315" spans="7:41">
      <c r="G315" s="205" t="s">
        <v>6963</v>
      </c>
      <c r="H315" s="111">
        <v>1191707.1852839999</v>
      </c>
      <c r="J315" t="s">
        <v>25</v>
      </c>
      <c r="P315" t="s">
        <v>25</v>
      </c>
      <c r="R315" s="97" t="s">
        <v>4450</v>
      </c>
      <c r="S315" s="93">
        <v>13300000</v>
      </c>
      <c r="U315" s="19" t="s">
        <v>5373</v>
      </c>
      <c r="V315" s="19">
        <v>832</v>
      </c>
      <c r="W315" s="115">
        <v>784.36500000000001</v>
      </c>
      <c r="X315" s="115">
        <f t="shared" si="60"/>
        <v>652591.68000000005</v>
      </c>
      <c r="Y315" s="259" t="s">
        <v>5095</v>
      </c>
      <c r="Z315" t="s">
        <v>25</v>
      </c>
      <c r="AI315" s="97">
        <v>20</v>
      </c>
      <c r="AJ315" s="97" t="s">
        <v>4398</v>
      </c>
      <c r="AK315" s="115">
        <v>-587083</v>
      </c>
      <c r="AL315" s="97">
        <v>4</v>
      </c>
      <c r="AM315" s="97">
        <f t="shared" si="63"/>
        <v>861</v>
      </c>
      <c r="AN315" s="97">
        <f t="shared" si="62"/>
        <v>-505478463</v>
      </c>
      <c r="AO315" s="97"/>
    </row>
    <row r="316" spans="7:41">
      <c r="G316" s="205" t="s">
        <v>6966</v>
      </c>
      <c r="H316" s="111">
        <v>2538812.595222</v>
      </c>
      <c r="P316" t="s">
        <v>25</v>
      </c>
      <c r="R316" s="97" t="s">
        <v>4548</v>
      </c>
      <c r="S316" s="93">
        <v>2269000</v>
      </c>
      <c r="U316" s="19" t="s">
        <v>5416</v>
      </c>
      <c r="V316" s="19">
        <v>382</v>
      </c>
      <c r="W316" s="115">
        <v>1450.6065000000001</v>
      </c>
      <c r="X316" s="115">
        <f t="shared" si="60"/>
        <v>554131.68300000008</v>
      </c>
      <c r="Y316" s="259" t="s">
        <v>5095</v>
      </c>
      <c r="Z316" t="s">
        <v>25</v>
      </c>
      <c r="AI316" s="191">
        <v>21</v>
      </c>
      <c r="AJ316" s="191" t="s">
        <v>4399</v>
      </c>
      <c r="AK316" s="192">
        <v>-754351</v>
      </c>
      <c r="AL316" s="191">
        <v>0</v>
      </c>
      <c r="AM316" s="147">
        <f t="shared" si="63"/>
        <v>857</v>
      </c>
      <c r="AN316" s="191">
        <f t="shared" si="62"/>
        <v>-646478807</v>
      </c>
      <c r="AO316" s="191" t="s">
        <v>649</v>
      </c>
    </row>
    <row r="317" spans="7:41">
      <c r="G317" s="205" t="s">
        <v>6975</v>
      </c>
      <c r="H317" s="111">
        <v>2016850.526604</v>
      </c>
      <c r="R317" s="97" t="s">
        <v>4557</v>
      </c>
      <c r="S317" s="93">
        <v>25071612</v>
      </c>
      <c r="U317" s="19" t="s">
        <v>5417</v>
      </c>
      <c r="V317" s="19">
        <v>50047</v>
      </c>
      <c r="W317" s="115">
        <v>1406.14</v>
      </c>
      <c r="X317" s="115">
        <f t="shared" si="60"/>
        <v>70373088.579999998</v>
      </c>
      <c r="Y317" s="259" t="s">
        <v>5095</v>
      </c>
      <c r="AA317" t="s">
        <v>25</v>
      </c>
      <c r="AI317" s="97">
        <v>22</v>
      </c>
      <c r="AJ317" s="97" t="s">
        <v>4399</v>
      </c>
      <c r="AK317" s="115">
        <v>-189619</v>
      </c>
      <c r="AL317" s="97">
        <v>15</v>
      </c>
      <c r="AM317" s="97">
        <f t="shared" si="63"/>
        <v>857</v>
      </c>
      <c r="AN317" s="97">
        <f t="shared" si="62"/>
        <v>-162503483</v>
      </c>
      <c r="AO317" s="97"/>
    </row>
    <row r="318" spans="7:41">
      <c r="G318" s="205" t="s">
        <v>6980</v>
      </c>
      <c r="H318" s="111">
        <v>130754.575732</v>
      </c>
      <c r="R318" s="97" t="s">
        <v>4558</v>
      </c>
      <c r="S318" s="93">
        <v>42236984</v>
      </c>
      <c r="U318" s="19" t="s">
        <v>5418</v>
      </c>
      <c r="V318" s="19">
        <v>846</v>
      </c>
      <c r="W318" s="115">
        <v>1441.6724569999999</v>
      </c>
      <c r="X318" s="115">
        <f t="shared" si="60"/>
        <v>1219654.8986219999</v>
      </c>
      <c r="Y318" s="259" t="s">
        <v>5095</v>
      </c>
      <c r="Z318" t="s">
        <v>25</v>
      </c>
      <c r="AA318" t="s">
        <v>25</v>
      </c>
      <c r="AI318" s="191">
        <v>23</v>
      </c>
      <c r="AJ318" s="191" t="s">
        <v>4458</v>
      </c>
      <c r="AK318" s="186">
        <v>7100</v>
      </c>
      <c r="AL318" s="191">
        <v>0</v>
      </c>
      <c r="AM318" s="147">
        <f t="shared" si="63"/>
        <v>842</v>
      </c>
      <c r="AN318" s="191">
        <f t="shared" si="62"/>
        <v>5978200</v>
      </c>
      <c r="AO318" s="191" t="s">
        <v>649</v>
      </c>
    </row>
    <row r="319" spans="7:41">
      <c r="G319" s="205" t="s">
        <v>6983</v>
      </c>
      <c r="H319" s="111">
        <v>153756.41398000001</v>
      </c>
      <c r="J319" t="s">
        <v>25</v>
      </c>
      <c r="R319" s="97" t="s">
        <v>4579</v>
      </c>
      <c r="S319" s="93">
        <v>19663646</v>
      </c>
      <c r="U319" s="19" t="s">
        <v>5419</v>
      </c>
      <c r="V319" s="19">
        <v>10573</v>
      </c>
      <c r="W319" s="115">
        <v>1451.825</v>
      </c>
      <c r="X319" s="115">
        <f t="shared" si="60"/>
        <v>15350145.725</v>
      </c>
      <c r="Y319" s="259" t="s">
        <v>5095</v>
      </c>
      <c r="Z319" t="s">
        <v>25</v>
      </c>
      <c r="AI319" s="20">
        <v>24</v>
      </c>
      <c r="AJ319" s="20" t="s">
        <v>4458</v>
      </c>
      <c r="AK319" s="115">
        <v>-147902</v>
      </c>
      <c r="AL319" s="20">
        <v>3</v>
      </c>
      <c r="AM319" s="97">
        <f t="shared" si="63"/>
        <v>842</v>
      </c>
      <c r="AN319" s="20">
        <f t="shared" si="62"/>
        <v>-124533484</v>
      </c>
      <c r="AO319" s="20"/>
    </row>
    <row r="320" spans="7:41" ht="30">
      <c r="G320" s="205"/>
      <c r="H320" s="111"/>
      <c r="J320" t="s">
        <v>25</v>
      </c>
      <c r="R320" s="97" t="s">
        <v>4590</v>
      </c>
      <c r="S320" s="93">
        <v>4374525</v>
      </c>
      <c r="U320" s="19" t="s">
        <v>5420</v>
      </c>
      <c r="V320" s="19">
        <v>85</v>
      </c>
      <c r="W320" s="115">
        <v>1423.74</v>
      </c>
      <c r="X320" s="115">
        <f t="shared" si="60"/>
        <v>121017.9</v>
      </c>
      <c r="Y320" s="259" t="s">
        <v>5421</v>
      </c>
      <c r="Z320" t="s">
        <v>25</v>
      </c>
      <c r="AI320" s="147">
        <v>25</v>
      </c>
      <c r="AJ320" s="147" t="s">
        <v>4466</v>
      </c>
      <c r="AK320" s="186">
        <v>-37200</v>
      </c>
      <c r="AL320" s="147">
        <v>4</v>
      </c>
      <c r="AM320" s="147">
        <f t="shared" si="63"/>
        <v>839</v>
      </c>
      <c r="AN320" s="191">
        <f t="shared" si="62"/>
        <v>-31210800</v>
      </c>
      <c r="AO320" s="147" t="s">
        <v>649</v>
      </c>
    </row>
    <row r="321" spans="7:45" ht="30">
      <c r="G321" s="205"/>
      <c r="H321" s="111"/>
      <c r="J321" t="s">
        <v>25</v>
      </c>
      <c r="R321" s="97" t="s">
        <v>4592</v>
      </c>
      <c r="S321" s="93">
        <v>6550580</v>
      </c>
      <c r="U321" s="19" t="s">
        <v>5424</v>
      </c>
      <c r="V321" s="19">
        <v>738</v>
      </c>
      <c r="W321" s="115">
        <v>1388.87895</v>
      </c>
      <c r="X321" s="115">
        <f t="shared" si="60"/>
        <v>1024992.6651</v>
      </c>
      <c r="Y321" s="259" t="s">
        <v>5428</v>
      </c>
      <c r="Z321" t="s">
        <v>25</v>
      </c>
      <c r="AI321" s="97">
        <v>26</v>
      </c>
      <c r="AJ321" s="97" t="s">
        <v>4493</v>
      </c>
      <c r="AK321" s="115">
        <v>-372326</v>
      </c>
      <c r="AL321" s="97">
        <v>21</v>
      </c>
      <c r="AM321" s="97">
        <f t="shared" si="63"/>
        <v>835</v>
      </c>
      <c r="AN321" s="20">
        <f t="shared" si="62"/>
        <v>-310892210</v>
      </c>
      <c r="AO321" s="97"/>
    </row>
    <row r="322" spans="7:45">
      <c r="G322" s="205"/>
      <c r="H322" s="111" t="s">
        <v>25</v>
      </c>
      <c r="R322" s="97" t="s">
        <v>4605</v>
      </c>
      <c r="S322" s="93">
        <v>7054895</v>
      </c>
      <c r="U322" s="19" t="s">
        <v>5436</v>
      </c>
      <c r="V322" s="19">
        <v>1442</v>
      </c>
      <c r="W322" s="115">
        <v>1350.9547279999999</v>
      </c>
      <c r="X322" s="115">
        <f t="shared" si="60"/>
        <v>1948076.7177759998</v>
      </c>
      <c r="Y322" s="259" t="s">
        <v>5095</v>
      </c>
      <c r="AB322" t="s">
        <v>25</v>
      </c>
      <c r="AI322" s="97">
        <v>27</v>
      </c>
      <c r="AJ322" s="97" t="s">
        <v>4540</v>
      </c>
      <c r="AK322" s="115">
        <v>235062</v>
      </c>
      <c r="AL322" s="97">
        <v>0</v>
      </c>
      <c r="AM322" s="97">
        <f t="shared" si="63"/>
        <v>814</v>
      </c>
      <c r="AN322" s="20">
        <f t="shared" si="62"/>
        <v>191340468</v>
      </c>
      <c r="AO322" s="97"/>
    </row>
    <row r="323" spans="7:45">
      <c r="G323" s="205" t="s">
        <v>5469</v>
      </c>
      <c r="H323" s="111">
        <v>-87000000</v>
      </c>
      <c r="R323" s="97" t="s">
        <v>4616</v>
      </c>
      <c r="S323" s="93">
        <v>2145814</v>
      </c>
      <c r="U323" s="19" t="s">
        <v>5437</v>
      </c>
      <c r="V323" s="19">
        <v>36847</v>
      </c>
      <c r="W323" s="115">
        <v>1356.9658300000001</v>
      </c>
      <c r="X323" s="115">
        <f t="shared" si="60"/>
        <v>50000119.938010007</v>
      </c>
      <c r="Y323" s="259" t="s">
        <v>5100</v>
      </c>
      <c r="AI323" s="147">
        <v>28</v>
      </c>
      <c r="AJ323" s="147" t="s">
        <v>4540</v>
      </c>
      <c r="AK323" s="186">
        <v>235062</v>
      </c>
      <c r="AL323" s="147">
        <v>9</v>
      </c>
      <c r="AM323" s="97">
        <f t="shared" si="63"/>
        <v>814</v>
      </c>
      <c r="AN323" s="147">
        <f t="shared" si="62"/>
        <v>191340468</v>
      </c>
      <c r="AO323" s="147" t="s">
        <v>649</v>
      </c>
    </row>
    <row r="324" spans="7:45" ht="30">
      <c r="G324" s="205"/>
      <c r="H324" s="111"/>
      <c r="R324" s="97" t="s">
        <v>4618</v>
      </c>
      <c r="S324" s="93">
        <v>4369730</v>
      </c>
      <c r="U324" s="19" t="s">
        <v>5438</v>
      </c>
      <c r="V324" s="19">
        <v>13738</v>
      </c>
      <c r="W324" s="115">
        <v>1455.82</v>
      </c>
      <c r="X324" s="115">
        <f t="shared" si="60"/>
        <v>20000055.16</v>
      </c>
      <c r="Y324" s="259" t="s">
        <v>5454</v>
      </c>
      <c r="Z324" t="s">
        <v>25</v>
      </c>
      <c r="AB324" t="s">
        <v>25</v>
      </c>
      <c r="AI324" s="147">
        <v>29</v>
      </c>
      <c r="AJ324" s="147" t="s">
        <v>4558</v>
      </c>
      <c r="AK324" s="186">
        <v>450000</v>
      </c>
      <c r="AL324" s="147">
        <v>0</v>
      </c>
      <c r="AM324" s="97">
        <f t="shared" si="63"/>
        <v>805</v>
      </c>
      <c r="AN324" s="147">
        <f t="shared" si="62"/>
        <v>362250000</v>
      </c>
      <c r="AO324" s="147" t="s">
        <v>649</v>
      </c>
    </row>
    <row r="325" spans="7:45">
      <c r="G325" s="205"/>
      <c r="H325" s="1"/>
      <c r="R325" s="97" t="s">
        <v>4627</v>
      </c>
      <c r="S325" s="93">
        <v>8739459</v>
      </c>
      <c r="U325" s="19" t="s">
        <v>5461</v>
      </c>
      <c r="V325" s="19">
        <v>3100</v>
      </c>
      <c r="W325" s="115">
        <v>1853.4507470000001</v>
      </c>
      <c r="X325" s="115">
        <f t="shared" si="60"/>
        <v>5745697.3157000002</v>
      </c>
      <c r="Y325" s="259" t="s">
        <v>5095</v>
      </c>
      <c r="Z325" t="s">
        <v>25</v>
      </c>
      <c r="AI325" s="20">
        <v>30</v>
      </c>
      <c r="AJ325" s="20" t="s">
        <v>4558</v>
      </c>
      <c r="AK325" s="115">
        <v>450000</v>
      </c>
      <c r="AL325" s="20">
        <v>22</v>
      </c>
      <c r="AM325" s="97">
        <f>AL325+AM326</f>
        <v>805</v>
      </c>
      <c r="AN325" s="20">
        <f t="shared" si="62"/>
        <v>362250000</v>
      </c>
      <c r="AO325" s="20"/>
    </row>
    <row r="326" spans="7:45">
      <c r="G326" s="205"/>
      <c r="H326" s="1"/>
      <c r="R326" s="97" t="s">
        <v>3666</v>
      </c>
      <c r="S326" s="93">
        <v>6667654</v>
      </c>
      <c r="U326" s="19" t="s">
        <v>5462</v>
      </c>
      <c r="V326" s="19">
        <v>480</v>
      </c>
      <c r="W326" s="115">
        <v>1891.9962069999999</v>
      </c>
      <c r="X326" s="115">
        <f t="shared" si="60"/>
        <v>908158.17935999995</v>
      </c>
      <c r="Y326" s="259" t="s">
        <v>5095</v>
      </c>
      <c r="Z326" t="s">
        <v>25</v>
      </c>
      <c r="AI326" s="147">
        <v>31</v>
      </c>
      <c r="AJ326" s="147" t="s">
        <v>4618</v>
      </c>
      <c r="AK326" s="186">
        <v>300000</v>
      </c>
      <c r="AL326" s="147">
        <v>0</v>
      </c>
      <c r="AM326" s="147">
        <f t="shared" ref="AM326:AM341" si="64">AL326+AM327</f>
        <v>783</v>
      </c>
      <c r="AN326" s="147">
        <f t="shared" ref="AN326:AN335" si="65">AK326*AM326</f>
        <v>234900000</v>
      </c>
      <c r="AO326" s="147"/>
    </row>
    <row r="327" spans="7:45" ht="30">
      <c r="G327" s="205"/>
      <c r="H327" s="1"/>
      <c r="R327" s="97" t="s">
        <v>4639</v>
      </c>
      <c r="S327" s="93">
        <v>8981245</v>
      </c>
      <c r="U327" s="19" t="s">
        <v>5463</v>
      </c>
      <c r="V327" s="19">
        <v>6522</v>
      </c>
      <c r="W327" s="115">
        <v>1938.4694340000001</v>
      </c>
      <c r="X327" s="115">
        <f t="shared" si="60"/>
        <v>12642697.648548001</v>
      </c>
      <c r="Y327" s="259" t="s">
        <v>5095</v>
      </c>
      <c r="AI327" s="119">
        <v>32</v>
      </c>
      <c r="AJ327" s="119" t="s">
        <v>4618</v>
      </c>
      <c r="AK327" s="77">
        <v>288936</v>
      </c>
      <c r="AL327" s="119">
        <v>3</v>
      </c>
      <c r="AM327" s="119">
        <f t="shared" si="64"/>
        <v>783</v>
      </c>
      <c r="AN327" s="119">
        <f t="shared" si="65"/>
        <v>226236888</v>
      </c>
      <c r="AO327" s="200" t="s">
        <v>4629</v>
      </c>
    </row>
    <row r="328" spans="7:45">
      <c r="G328" s="205" t="s">
        <v>6</v>
      </c>
      <c r="H328" s="1">
        <f>SUM(H152:H327)</f>
        <v>1594937418.7768178</v>
      </c>
      <c r="R328" s="97" t="s">
        <v>4642</v>
      </c>
      <c r="S328" s="93">
        <v>9181756</v>
      </c>
      <c r="U328" s="19" t="s">
        <v>5464</v>
      </c>
      <c r="V328" s="19">
        <v>6197</v>
      </c>
      <c r="W328" s="115">
        <v>1984.3985499999999</v>
      </c>
      <c r="X328" s="115">
        <f t="shared" si="60"/>
        <v>12297317.81435</v>
      </c>
      <c r="Y328" s="259" t="s">
        <v>5095</v>
      </c>
      <c r="AB328" t="s">
        <v>25</v>
      </c>
      <c r="AI328" s="119">
        <v>33</v>
      </c>
      <c r="AJ328" s="119" t="s">
        <v>4627</v>
      </c>
      <c r="AK328" s="77">
        <v>17962491</v>
      </c>
      <c r="AL328" s="119">
        <v>1</v>
      </c>
      <c r="AM328" s="119">
        <f t="shared" si="64"/>
        <v>780</v>
      </c>
      <c r="AN328" s="119">
        <f t="shared" si="65"/>
        <v>14010742980</v>
      </c>
      <c r="AO328" s="119" t="s">
        <v>4634</v>
      </c>
    </row>
    <row r="329" spans="7:45">
      <c r="G329" s="278"/>
      <c r="H329" s="1"/>
      <c r="R329" s="97" t="s">
        <v>4654</v>
      </c>
      <c r="S329" s="93">
        <v>11811208</v>
      </c>
      <c r="U329" s="19" t="s">
        <v>5465</v>
      </c>
      <c r="V329" s="19">
        <v>4646</v>
      </c>
      <c r="W329" s="115">
        <v>1928.464023</v>
      </c>
      <c r="X329" s="115">
        <f t="shared" si="60"/>
        <v>8959643.8508579992</v>
      </c>
      <c r="Y329" s="259" t="s">
        <v>5095</v>
      </c>
      <c r="AA329" t="s">
        <v>25</v>
      </c>
      <c r="AB329" t="s">
        <v>25</v>
      </c>
      <c r="AI329" s="119">
        <v>34</v>
      </c>
      <c r="AJ329" s="119" t="s">
        <v>3666</v>
      </c>
      <c r="AK329" s="77">
        <v>18363511</v>
      </c>
      <c r="AL329" s="119">
        <v>1</v>
      </c>
      <c r="AM329" s="119">
        <f t="shared" si="64"/>
        <v>779</v>
      </c>
      <c r="AN329" s="119">
        <f t="shared" si="65"/>
        <v>14305175069</v>
      </c>
      <c r="AO329" s="119" t="s">
        <v>4634</v>
      </c>
    </row>
    <row r="330" spans="7:45">
      <c r="R330" s="97" t="s">
        <v>4661</v>
      </c>
      <c r="S330" s="93">
        <v>41248054</v>
      </c>
      <c r="U330" s="19" t="s">
        <v>5466</v>
      </c>
      <c r="V330" s="19">
        <v>7668</v>
      </c>
      <c r="W330" s="115">
        <v>1976.2774959999999</v>
      </c>
      <c r="X330" s="115">
        <f t="shared" si="60"/>
        <v>15154095.839328</v>
      </c>
      <c r="Y330" s="259" t="s">
        <v>5095</v>
      </c>
      <c r="AI330" s="119">
        <v>35</v>
      </c>
      <c r="AJ330" s="119" t="s">
        <v>4639</v>
      </c>
      <c r="AK330" s="77">
        <v>23622417</v>
      </c>
      <c r="AL330" s="119">
        <v>5</v>
      </c>
      <c r="AM330" s="119">
        <f t="shared" si="64"/>
        <v>778</v>
      </c>
      <c r="AN330" s="119">
        <f t="shared" si="65"/>
        <v>18378240426</v>
      </c>
      <c r="AO330" s="119" t="s">
        <v>4641</v>
      </c>
    </row>
    <row r="331" spans="7:45" ht="30">
      <c r="R331" s="97" t="s">
        <v>4667</v>
      </c>
      <c r="S331" s="93">
        <v>37328780</v>
      </c>
      <c r="U331" s="19" t="s">
        <v>5473</v>
      </c>
      <c r="V331" s="19">
        <v>-43325</v>
      </c>
      <c r="W331" s="115">
        <v>2146.5548840000001</v>
      </c>
      <c r="X331" s="115">
        <f t="shared" si="60"/>
        <v>-92999490.349300012</v>
      </c>
      <c r="Y331" s="259" t="s">
        <v>5474</v>
      </c>
      <c r="Z331" t="s">
        <v>25</v>
      </c>
      <c r="AI331" s="119">
        <v>36</v>
      </c>
      <c r="AJ331" s="119" t="s">
        <v>4652</v>
      </c>
      <c r="AK331" s="77">
        <v>82496108</v>
      </c>
      <c r="AL331" s="119">
        <v>1</v>
      </c>
      <c r="AM331" s="119">
        <f t="shared" si="64"/>
        <v>773</v>
      </c>
      <c r="AN331" s="119">
        <f t="shared" si="65"/>
        <v>63769491484</v>
      </c>
      <c r="AO331" s="119" t="s">
        <v>4655</v>
      </c>
    </row>
    <row r="332" spans="7:45">
      <c r="G332" s="94"/>
      <c r="H332" s="9" t="s">
        <v>452</v>
      </c>
      <c r="R332" s="97" t="s">
        <v>4723</v>
      </c>
      <c r="S332" s="93">
        <v>50000000</v>
      </c>
      <c r="U332" s="19" t="s">
        <v>5481</v>
      </c>
      <c r="V332" s="19">
        <v>20888</v>
      </c>
      <c r="W332" s="115">
        <v>2428.4521530000002</v>
      </c>
      <c r="X332" s="115">
        <f t="shared" si="60"/>
        <v>50725508.571864001</v>
      </c>
      <c r="Y332" s="259" t="s">
        <v>5095</v>
      </c>
      <c r="AI332" s="119">
        <v>37</v>
      </c>
      <c r="AJ332" s="119" t="s">
        <v>4654</v>
      </c>
      <c r="AK332" s="77">
        <v>74657561</v>
      </c>
      <c r="AL332" s="119">
        <v>16</v>
      </c>
      <c r="AM332" s="119">
        <f t="shared" si="64"/>
        <v>772</v>
      </c>
      <c r="AN332" s="119">
        <f t="shared" si="65"/>
        <v>57635637092</v>
      </c>
      <c r="AO332" s="119" t="s">
        <v>4660</v>
      </c>
      <c r="AS332" t="s">
        <v>25</v>
      </c>
    </row>
    <row r="333" spans="7:45">
      <c r="G333" s="94"/>
      <c r="H333" s="9" t="s">
        <v>743</v>
      </c>
      <c r="R333" s="97" t="s">
        <v>4732</v>
      </c>
      <c r="S333" s="93">
        <v>68656</v>
      </c>
      <c r="U333" s="19" t="s">
        <v>5482</v>
      </c>
      <c r="V333" s="19">
        <v>21663</v>
      </c>
      <c r="W333" s="115">
        <v>2308.0067819999999</v>
      </c>
      <c r="X333" s="115">
        <f t="shared" si="60"/>
        <v>49998350.918466002</v>
      </c>
      <c r="Y333" s="259" t="s">
        <v>5485</v>
      </c>
      <c r="Z333" t="s">
        <v>25</v>
      </c>
      <c r="AI333" s="97">
        <v>38</v>
      </c>
      <c r="AJ333" s="97" t="s">
        <v>4723</v>
      </c>
      <c r="AK333" s="115">
        <v>665000</v>
      </c>
      <c r="AL333" s="97">
        <v>0</v>
      </c>
      <c r="AM333" s="97">
        <f t="shared" si="64"/>
        <v>756</v>
      </c>
      <c r="AN333" s="20">
        <f t="shared" si="65"/>
        <v>502740000</v>
      </c>
      <c r="AO333" s="97"/>
    </row>
    <row r="334" spans="7:45">
      <c r="G334" s="94"/>
      <c r="H334" s="9" t="s">
        <v>5403</v>
      </c>
      <c r="R334" s="97" t="s">
        <v>4732</v>
      </c>
      <c r="S334" s="93">
        <v>4000236</v>
      </c>
      <c r="U334" s="19" t="s">
        <v>5482</v>
      </c>
      <c r="V334" s="19">
        <v>977</v>
      </c>
      <c r="W334" s="115">
        <v>2335.6821479999999</v>
      </c>
      <c r="X334" s="115">
        <f t="shared" si="60"/>
        <v>2281961.458596</v>
      </c>
      <c r="Y334" s="259" t="s">
        <v>5095</v>
      </c>
      <c r="AI334" s="147">
        <v>39</v>
      </c>
      <c r="AJ334" s="147" t="s">
        <v>4723</v>
      </c>
      <c r="AK334" s="186">
        <v>665000</v>
      </c>
      <c r="AL334" s="147">
        <v>4</v>
      </c>
      <c r="AM334" s="191">
        <f t="shared" si="64"/>
        <v>756</v>
      </c>
      <c r="AN334" s="191">
        <f t="shared" si="65"/>
        <v>502740000</v>
      </c>
      <c r="AO334" s="191"/>
    </row>
    <row r="335" spans="7:45">
      <c r="G335" s="94"/>
      <c r="H335" s="9" t="s">
        <v>1069</v>
      </c>
      <c r="R335" s="97" t="s">
        <v>4737</v>
      </c>
      <c r="S335" s="93">
        <v>2250000</v>
      </c>
      <c r="U335" s="19" t="s">
        <v>5489</v>
      </c>
      <c r="V335" s="19">
        <v>4155</v>
      </c>
      <c r="W335" s="115">
        <v>2647</v>
      </c>
      <c r="X335" s="115">
        <f t="shared" si="60"/>
        <v>10998285</v>
      </c>
      <c r="Y335" s="259" t="s">
        <v>5095</v>
      </c>
      <c r="AI335" s="20">
        <v>40</v>
      </c>
      <c r="AJ335" s="20" t="s">
        <v>4732</v>
      </c>
      <c r="AK335" s="115">
        <v>2000000</v>
      </c>
      <c r="AL335" s="20">
        <v>1</v>
      </c>
      <c r="AM335" s="97">
        <f t="shared" si="64"/>
        <v>752</v>
      </c>
      <c r="AN335" s="20">
        <f t="shared" si="65"/>
        <v>1504000000</v>
      </c>
      <c r="AO335" s="97"/>
    </row>
    <row r="336" spans="7:45">
      <c r="H336" s="9" t="s">
        <v>5341</v>
      </c>
      <c r="R336" s="97" t="s">
        <v>4746</v>
      </c>
      <c r="S336" s="93">
        <v>-2512200</v>
      </c>
      <c r="U336" s="19" t="s">
        <v>5490</v>
      </c>
      <c r="V336" s="19">
        <v>351</v>
      </c>
      <c r="W336" s="115">
        <v>2800.6238229999999</v>
      </c>
      <c r="X336" s="115">
        <f t="shared" si="60"/>
        <v>983018.96187300002</v>
      </c>
      <c r="Y336" s="259" t="s">
        <v>5095</v>
      </c>
      <c r="Z336" t="s">
        <v>25</v>
      </c>
      <c r="AI336" s="20">
        <v>41</v>
      </c>
      <c r="AJ336" s="20" t="s">
        <v>4737</v>
      </c>
      <c r="AK336" s="115">
        <v>-2060725</v>
      </c>
      <c r="AL336" s="20">
        <v>0</v>
      </c>
      <c r="AM336" s="97">
        <f t="shared" si="64"/>
        <v>751</v>
      </c>
      <c r="AN336" s="20">
        <f t="shared" ref="AN336:AN341" si="66">AK336*AM336</f>
        <v>-1547604475</v>
      </c>
      <c r="AO336" s="97" t="s">
        <v>4738</v>
      </c>
      <c r="AS336" t="s">
        <v>25</v>
      </c>
    </row>
    <row r="337" spans="8:47">
      <c r="H337" s="9" t="s">
        <v>5503</v>
      </c>
      <c r="R337" s="97" t="s">
        <v>964</v>
      </c>
      <c r="S337" s="93">
        <v>300000</v>
      </c>
      <c r="U337" s="19" t="s">
        <v>5492</v>
      </c>
      <c r="V337" s="19">
        <v>5877</v>
      </c>
      <c r="W337" s="115">
        <v>2901.0160000000001</v>
      </c>
      <c r="X337" s="115">
        <f t="shared" si="60"/>
        <v>17049271.032000002</v>
      </c>
      <c r="Y337" s="259" t="s">
        <v>5095</v>
      </c>
      <c r="Z337" t="s">
        <v>25</v>
      </c>
      <c r="AI337" s="147">
        <v>42</v>
      </c>
      <c r="AJ337" s="147" t="s">
        <v>4737</v>
      </c>
      <c r="AK337" s="186">
        <v>-433375</v>
      </c>
      <c r="AL337" s="147">
        <v>0</v>
      </c>
      <c r="AM337" s="147">
        <f t="shared" si="64"/>
        <v>751</v>
      </c>
      <c r="AN337" s="147">
        <f t="shared" si="66"/>
        <v>-325464625</v>
      </c>
      <c r="AO337" s="147" t="s">
        <v>4739</v>
      </c>
      <c r="AT337" t="s">
        <v>25</v>
      </c>
    </row>
    <row r="338" spans="8:47">
      <c r="H338" s="279" t="s">
        <v>5504</v>
      </c>
      <c r="R338" s="97" t="s">
        <v>4752</v>
      </c>
      <c r="S338" s="93">
        <v>1100000</v>
      </c>
      <c r="T338" s="112"/>
      <c r="U338" s="19" t="s">
        <v>5495</v>
      </c>
      <c r="V338" s="19">
        <v>2374</v>
      </c>
      <c r="W338" s="115">
        <v>2877</v>
      </c>
      <c r="X338" s="115">
        <f t="shared" ref="X338:X375" si="67">V338*W338</f>
        <v>6829998</v>
      </c>
      <c r="Y338" s="259" t="s">
        <v>5095</v>
      </c>
      <c r="AI338" s="20">
        <v>43</v>
      </c>
      <c r="AJ338" s="20" t="s">
        <v>4737</v>
      </c>
      <c r="AK338" s="115">
        <v>28000000</v>
      </c>
      <c r="AL338" s="20">
        <v>1</v>
      </c>
      <c r="AM338" s="97">
        <f t="shared" si="64"/>
        <v>751</v>
      </c>
      <c r="AN338" s="20">
        <f t="shared" si="66"/>
        <v>21028000000</v>
      </c>
      <c r="AO338" s="97" t="s">
        <v>3873</v>
      </c>
      <c r="AS338" t="s">
        <v>25</v>
      </c>
      <c r="AU338" s="94" t="s">
        <v>25</v>
      </c>
    </row>
    <row r="339" spans="8:47">
      <c r="H339" s="279" t="s">
        <v>743</v>
      </c>
      <c r="R339" s="97" t="s">
        <v>4772</v>
      </c>
      <c r="S339" s="93">
        <v>890000</v>
      </c>
      <c r="U339" s="19" t="s">
        <v>4209</v>
      </c>
      <c r="V339" s="19">
        <v>2532</v>
      </c>
      <c r="W339" s="115">
        <v>2757.7444</v>
      </c>
      <c r="X339" s="115">
        <f t="shared" si="67"/>
        <v>6982608.8207999999</v>
      </c>
      <c r="Y339" s="259" t="s">
        <v>5095</v>
      </c>
      <c r="AI339" s="20">
        <v>44</v>
      </c>
      <c r="AJ339" s="20" t="s">
        <v>4746</v>
      </c>
      <c r="AK339" s="115">
        <v>160000</v>
      </c>
      <c r="AL339" s="20">
        <v>0</v>
      </c>
      <c r="AM339" s="97">
        <f t="shared" si="64"/>
        <v>750</v>
      </c>
      <c r="AN339" s="20">
        <f t="shared" si="66"/>
        <v>120000000</v>
      </c>
      <c r="AO339" s="97"/>
      <c r="AT339" t="s">
        <v>25</v>
      </c>
    </row>
    <row r="340" spans="8:47">
      <c r="H340" s="9" t="s">
        <v>5505</v>
      </c>
      <c r="R340" s="97" t="s">
        <v>4773</v>
      </c>
      <c r="S340" s="93">
        <v>1000000</v>
      </c>
      <c r="U340" s="19" t="s">
        <v>4209</v>
      </c>
      <c r="V340" s="19">
        <v>4987</v>
      </c>
      <c r="W340" s="115">
        <v>2757.7444</v>
      </c>
      <c r="X340" s="115">
        <f t="shared" si="67"/>
        <v>13752871.322800001</v>
      </c>
      <c r="Y340" s="259" t="s">
        <v>5510</v>
      </c>
      <c r="Z340" t="s">
        <v>25</v>
      </c>
      <c r="AI340" s="147">
        <v>45</v>
      </c>
      <c r="AJ340" s="147" t="s">
        <v>4746</v>
      </c>
      <c r="AK340" s="186">
        <v>70000</v>
      </c>
      <c r="AL340" s="147">
        <v>9</v>
      </c>
      <c r="AM340" s="147">
        <f t="shared" si="64"/>
        <v>750</v>
      </c>
      <c r="AN340" s="147">
        <f t="shared" si="66"/>
        <v>52500000</v>
      </c>
      <c r="AO340" s="147"/>
    </row>
    <row r="341" spans="8:47">
      <c r="H341" s="9" t="s">
        <v>5506</v>
      </c>
      <c r="R341" s="97" t="s">
        <v>4773</v>
      </c>
      <c r="S341" s="93">
        <v>45436311</v>
      </c>
      <c r="U341" s="19" t="s">
        <v>4209</v>
      </c>
      <c r="V341" s="19">
        <v>997</v>
      </c>
      <c r="W341" s="115">
        <v>2757.7444</v>
      </c>
      <c r="X341" s="115">
        <f t="shared" si="67"/>
        <v>2749471.1668000002</v>
      </c>
      <c r="Y341" s="259" t="s">
        <v>5511</v>
      </c>
      <c r="AI341" s="20">
        <v>46</v>
      </c>
      <c r="AJ341" s="20" t="s">
        <v>4752</v>
      </c>
      <c r="AK341" s="115">
        <v>850000</v>
      </c>
      <c r="AL341" s="20">
        <v>0</v>
      </c>
      <c r="AM341" s="97">
        <f t="shared" si="64"/>
        <v>741</v>
      </c>
      <c r="AN341" s="20">
        <f t="shared" si="66"/>
        <v>629850000</v>
      </c>
      <c r="AO341" s="97"/>
    </row>
    <row r="342" spans="8:47">
      <c r="H342" s="9" t="s">
        <v>5533</v>
      </c>
      <c r="R342" s="97" t="s">
        <v>4785</v>
      </c>
      <c r="S342" s="93">
        <v>-3500000</v>
      </c>
      <c r="U342" s="19" t="s">
        <v>5515</v>
      </c>
      <c r="V342" s="19">
        <v>2874</v>
      </c>
      <c r="W342" s="115">
        <v>2613.1284000000001</v>
      </c>
      <c r="X342" s="115">
        <f t="shared" si="67"/>
        <v>7510131.0216000006</v>
      </c>
      <c r="Y342" s="259" t="s">
        <v>5095</v>
      </c>
      <c r="AI342" s="191">
        <v>47</v>
      </c>
      <c r="AJ342" s="191" t="s">
        <v>4752</v>
      </c>
      <c r="AK342" s="192">
        <v>20000</v>
      </c>
      <c r="AL342" s="191">
        <v>4</v>
      </c>
      <c r="AM342" s="191">
        <f t="shared" ref="AM342:AM350" si="68">AL342+AM343</f>
        <v>741</v>
      </c>
      <c r="AN342" s="191">
        <f t="shared" ref="AN342:AN350" si="69">AK342*AM342</f>
        <v>14820000</v>
      </c>
      <c r="AO342" s="191"/>
    </row>
    <row r="343" spans="8:47">
      <c r="H343" s="279"/>
      <c r="R343" s="97" t="s">
        <v>4820</v>
      </c>
      <c r="S343" s="93">
        <v>2520000</v>
      </c>
      <c r="U343" s="19" t="s">
        <v>5521</v>
      </c>
      <c r="V343" s="19">
        <v>2847</v>
      </c>
      <c r="W343" s="115">
        <v>2556.3841000000002</v>
      </c>
      <c r="X343" s="115">
        <f t="shared" si="67"/>
        <v>7278025.5327000003</v>
      </c>
      <c r="Y343" s="259" t="s">
        <v>5095</v>
      </c>
      <c r="AI343" s="191">
        <v>48</v>
      </c>
      <c r="AJ343" s="191" t="s">
        <v>4765</v>
      </c>
      <c r="AK343" s="192">
        <v>30000000</v>
      </c>
      <c r="AL343" s="191">
        <v>27</v>
      </c>
      <c r="AM343" s="191">
        <f t="shared" si="68"/>
        <v>737</v>
      </c>
      <c r="AN343" s="191">
        <f t="shared" si="69"/>
        <v>22110000000</v>
      </c>
      <c r="AO343" s="191" t="s">
        <v>4766</v>
      </c>
    </row>
    <row r="344" spans="8:47">
      <c r="R344" s="97" t="s">
        <v>4832</v>
      </c>
      <c r="S344" s="93">
        <v>4900000</v>
      </c>
      <c r="U344" s="19" t="s">
        <v>5521</v>
      </c>
      <c r="V344" s="19">
        <v>1222</v>
      </c>
      <c r="W344" s="115">
        <v>2556.3841000000002</v>
      </c>
      <c r="X344" s="115">
        <f t="shared" si="67"/>
        <v>3123901.3702000002</v>
      </c>
      <c r="Y344" s="259" t="s">
        <v>5522</v>
      </c>
      <c r="AI344" s="20">
        <v>49</v>
      </c>
      <c r="AJ344" s="20" t="s">
        <v>4832</v>
      </c>
      <c r="AK344" s="115">
        <v>1100000</v>
      </c>
      <c r="AL344" s="20">
        <v>1</v>
      </c>
      <c r="AM344" s="20">
        <f t="shared" si="68"/>
        <v>710</v>
      </c>
      <c r="AN344" s="20">
        <f t="shared" si="69"/>
        <v>781000000</v>
      </c>
      <c r="AO344" s="20"/>
    </row>
    <row r="345" spans="8:47">
      <c r="R345" s="97" t="s">
        <v>4792</v>
      </c>
      <c r="S345" s="93">
        <v>1150000</v>
      </c>
      <c r="U345" s="19" t="s">
        <v>5530</v>
      </c>
      <c r="V345" s="19">
        <v>73</v>
      </c>
      <c r="W345" s="115">
        <v>2672.0459999999998</v>
      </c>
      <c r="X345" s="115">
        <f t="shared" si="67"/>
        <v>195059.35799999998</v>
      </c>
      <c r="Y345" s="259" t="s">
        <v>5095</v>
      </c>
      <c r="AI345" s="20">
        <v>50</v>
      </c>
      <c r="AJ345" s="20" t="s">
        <v>4833</v>
      </c>
      <c r="AK345" s="115">
        <v>450000</v>
      </c>
      <c r="AL345" s="20">
        <v>0</v>
      </c>
      <c r="AM345" s="20">
        <f t="shared" si="68"/>
        <v>709</v>
      </c>
      <c r="AN345" s="20">
        <f t="shared" si="69"/>
        <v>319050000</v>
      </c>
      <c r="AO345" s="20"/>
    </row>
    <row r="346" spans="8:47">
      <c r="R346" s="97" t="s">
        <v>4866</v>
      </c>
      <c r="S346" s="93">
        <v>250000</v>
      </c>
      <c r="U346" s="19" t="s">
        <v>5535</v>
      </c>
      <c r="V346" s="19">
        <v>332</v>
      </c>
      <c r="W346" s="115">
        <v>2598.1260000000002</v>
      </c>
      <c r="X346" s="115">
        <f t="shared" si="67"/>
        <v>862577.83200000005</v>
      </c>
      <c r="Y346" s="259" t="s">
        <v>5536</v>
      </c>
      <c r="Z346" t="s">
        <v>25</v>
      </c>
      <c r="AA346" t="s">
        <v>25</v>
      </c>
      <c r="AI346" s="147">
        <v>51</v>
      </c>
      <c r="AJ346" s="147" t="s">
        <v>4833</v>
      </c>
      <c r="AK346" s="186">
        <v>550000</v>
      </c>
      <c r="AL346" s="147">
        <v>1</v>
      </c>
      <c r="AM346" s="147">
        <f t="shared" si="68"/>
        <v>709</v>
      </c>
      <c r="AN346" s="147">
        <f t="shared" si="69"/>
        <v>389950000</v>
      </c>
      <c r="AO346" s="147"/>
    </row>
    <row r="347" spans="8:47">
      <c r="R347" s="97" t="s">
        <v>4869</v>
      </c>
      <c r="S347" s="93">
        <v>1403460</v>
      </c>
      <c r="T347" t="s">
        <v>25</v>
      </c>
      <c r="U347" s="19" t="s">
        <v>5537</v>
      </c>
      <c r="V347" s="19">
        <v>346</v>
      </c>
      <c r="W347" s="115">
        <v>2659.8510000000001</v>
      </c>
      <c r="X347" s="115">
        <f t="shared" si="67"/>
        <v>920308.446</v>
      </c>
      <c r="Y347" s="259" t="s">
        <v>5095</v>
      </c>
      <c r="AI347" s="147">
        <v>52</v>
      </c>
      <c r="AJ347" s="147" t="s">
        <v>4835</v>
      </c>
      <c r="AK347" s="186">
        <v>1000000</v>
      </c>
      <c r="AL347" s="147">
        <v>8</v>
      </c>
      <c r="AM347" s="147">
        <f t="shared" si="68"/>
        <v>708</v>
      </c>
      <c r="AN347" s="147">
        <f t="shared" si="69"/>
        <v>708000000</v>
      </c>
      <c r="AO347" s="147"/>
    </row>
    <row r="348" spans="8:47">
      <c r="R348" s="97" t="s">
        <v>4874</v>
      </c>
      <c r="S348" s="93">
        <v>200000</v>
      </c>
      <c r="U348" s="19" t="s">
        <v>5538</v>
      </c>
      <c r="V348" s="19">
        <v>1722</v>
      </c>
      <c r="W348" s="115">
        <v>2692.1079220000001</v>
      </c>
      <c r="X348" s="115">
        <f t="shared" si="67"/>
        <v>4635809.8416840006</v>
      </c>
      <c r="Y348" s="259" t="s">
        <v>5095</v>
      </c>
      <c r="Z348" t="s">
        <v>25</v>
      </c>
      <c r="AI348" s="20">
        <v>53</v>
      </c>
      <c r="AJ348" s="20" t="s">
        <v>4844</v>
      </c>
      <c r="AK348" s="115">
        <v>-2668880</v>
      </c>
      <c r="AL348" s="20">
        <v>0</v>
      </c>
      <c r="AM348" s="20">
        <f t="shared" si="68"/>
        <v>700</v>
      </c>
      <c r="AN348" s="20">
        <f t="shared" si="69"/>
        <v>-1868216000</v>
      </c>
      <c r="AO348" s="20" t="s">
        <v>4846</v>
      </c>
    </row>
    <row r="349" spans="8:47">
      <c r="R349" s="97" t="s">
        <v>4879</v>
      </c>
      <c r="S349" s="93">
        <v>345000</v>
      </c>
      <c r="U349" s="19" t="s">
        <v>5540</v>
      </c>
      <c r="V349" s="19">
        <v>106</v>
      </c>
      <c r="W349" s="115">
        <v>2725.4</v>
      </c>
      <c r="X349" s="115">
        <f t="shared" si="67"/>
        <v>288892.40000000002</v>
      </c>
      <c r="Y349" s="259" t="s">
        <v>452</v>
      </c>
      <c r="Z349" t="s">
        <v>25</v>
      </c>
      <c r="AA349" t="s">
        <v>25</v>
      </c>
      <c r="AI349" s="147">
        <v>54</v>
      </c>
      <c r="AJ349" s="147" t="s">
        <v>4844</v>
      </c>
      <c r="AK349" s="186">
        <v>-1528620</v>
      </c>
      <c r="AL349" s="147">
        <v>0</v>
      </c>
      <c r="AM349" s="147">
        <f t="shared" si="68"/>
        <v>700</v>
      </c>
      <c r="AN349" s="147">
        <f t="shared" si="69"/>
        <v>-1070034000</v>
      </c>
      <c r="AO349" s="147" t="s">
        <v>4846</v>
      </c>
    </row>
    <row r="350" spans="8:47">
      <c r="R350" s="97" t="s">
        <v>4882</v>
      </c>
      <c r="S350" s="93">
        <v>900000</v>
      </c>
      <c r="U350" s="19" t="s">
        <v>5567</v>
      </c>
      <c r="V350" s="19">
        <v>25901</v>
      </c>
      <c r="W350" s="115">
        <v>2258.9090000000001</v>
      </c>
      <c r="X350" s="115">
        <f t="shared" si="67"/>
        <v>58508002.009000003</v>
      </c>
      <c r="Y350" s="259" t="s">
        <v>5095</v>
      </c>
      <c r="AI350" s="20">
        <v>55</v>
      </c>
      <c r="AJ350" s="20" t="s">
        <v>4844</v>
      </c>
      <c r="AK350" s="115">
        <v>50000000</v>
      </c>
      <c r="AL350" s="20">
        <v>4</v>
      </c>
      <c r="AM350" s="20">
        <f t="shared" si="68"/>
        <v>700</v>
      </c>
      <c r="AN350" s="20">
        <f t="shared" si="69"/>
        <v>35000000000</v>
      </c>
      <c r="AO350" s="20"/>
    </row>
    <row r="351" spans="8:47">
      <c r="R351" s="97" t="s">
        <v>4890</v>
      </c>
      <c r="S351" s="93">
        <v>372517</v>
      </c>
      <c r="U351" s="19" t="s">
        <v>5569</v>
      </c>
      <c r="V351" s="19">
        <v>951</v>
      </c>
      <c r="W351" s="115">
        <v>2361.2150799999999</v>
      </c>
      <c r="X351" s="115">
        <f t="shared" si="67"/>
        <v>2245515.5410799999</v>
      </c>
      <c r="Y351" s="259" t="s">
        <v>5095</v>
      </c>
      <c r="AI351" s="20">
        <v>56</v>
      </c>
      <c r="AJ351" s="20" t="s">
        <v>4850</v>
      </c>
      <c r="AK351" s="115">
        <v>400000</v>
      </c>
      <c r="AL351" s="20">
        <v>4</v>
      </c>
      <c r="AM351" s="20">
        <f t="shared" ref="AM351:AM360" si="70">AL351+AM352</f>
        <v>696</v>
      </c>
      <c r="AN351" s="20">
        <f t="shared" ref="AN351:AN360" si="71">AK351*AM351</f>
        <v>278400000</v>
      </c>
      <c r="AO351" s="20"/>
    </row>
    <row r="352" spans="8:47">
      <c r="R352" s="97" t="s">
        <v>4923</v>
      </c>
      <c r="S352" s="93">
        <v>6489257</v>
      </c>
      <c r="U352" s="19" t="s">
        <v>5571</v>
      </c>
      <c r="V352" s="19">
        <v>7622</v>
      </c>
      <c r="W352" s="115">
        <v>2414.6810999999998</v>
      </c>
      <c r="X352" s="115">
        <f t="shared" si="67"/>
        <v>18404699.3442</v>
      </c>
      <c r="Y352" s="259" t="s">
        <v>5095</v>
      </c>
      <c r="AI352" s="20">
        <v>57</v>
      </c>
      <c r="AJ352" s="20" t="s">
        <v>4859</v>
      </c>
      <c r="AK352" s="115">
        <v>2000000</v>
      </c>
      <c r="AL352" s="20">
        <v>3</v>
      </c>
      <c r="AM352" s="20">
        <f t="shared" si="70"/>
        <v>692</v>
      </c>
      <c r="AN352" s="20">
        <f t="shared" si="71"/>
        <v>1384000000</v>
      </c>
      <c r="AO352" s="20"/>
    </row>
    <row r="353" spans="18:46">
      <c r="R353" s="97" t="s">
        <v>4934</v>
      </c>
      <c r="S353" s="93">
        <v>618000</v>
      </c>
      <c r="U353" s="19" t="s">
        <v>5571</v>
      </c>
      <c r="V353" s="19">
        <v>-282</v>
      </c>
      <c r="W353" s="115">
        <v>2414.6810999999998</v>
      </c>
      <c r="X353" s="115">
        <f t="shared" si="67"/>
        <v>-680940.07019999996</v>
      </c>
      <c r="Y353" s="259" t="s">
        <v>5572</v>
      </c>
      <c r="AI353" s="20">
        <v>58</v>
      </c>
      <c r="AJ353" s="20" t="s">
        <v>4862</v>
      </c>
      <c r="AK353" s="115">
        <v>100000</v>
      </c>
      <c r="AL353" s="20">
        <v>4</v>
      </c>
      <c r="AM353" s="20">
        <f t="shared" si="70"/>
        <v>689</v>
      </c>
      <c r="AN353" s="20">
        <f t="shared" si="71"/>
        <v>68900000</v>
      </c>
      <c r="AO353" s="20" t="s">
        <v>3873</v>
      </c>
    </row>
    <row r="354" spans="18:46">
      <c r="R354" s="97" t="s">
        <v>4938</v>
      </c>
      <c r="S354" s="93">
        <v>20105000</v>
      </c>
      <c r="U354" s="19" t="s">
        <v>5571</v>
      </c>
      <c r="V354" s="19">
        <v>20162</v>
      </c>
      <c r="W354" s="115">
        <v>2414.6810999999998</v>
      </c>
      <c r="X354" s="115">
        <f t="shared" si="67"/>
        <v>48684800.338199995</v>
      </c>
      <c r="Y354" s="259" t="s">
        <v>5573</v>
      </c>
      <c r="AI354" s="20">
        <v>59</v>
      </c>
      <c r="AJ354" s="20" t="s">
        <v>4869</v>
      </c>
      <c r="AK354" s="115">
        <v>100000</v>
      </c>
      <c r="AL354" s="20">
        <v>7</v>
      </c>
      <c r="AM354" s="20">
        <f t="shared" si="70"/>
        <v>685</v>
      </c>
      <c r="AN354" s="20">
        <f t="shared" si="71"/>
        <v>68500000</v>
      </c>
      <c r="AO354" s="20"/>
    </row>
    <row r="355" spans="18:46">
      <c r="R355" s="97" t="s">
        <v>4939</v>
      </c>
      <c r="S355" s="93">
        <v>-21079990</v>
      </c>
      <c r="U355" s="19" t="s">
        <v>5571</v>
      </c>
      <c r="V355" s="19">
        <v>-20162</v>
      </c>
      <c r="W355" s="115">
        <v>2414.6810999999998</v>
      </c>
      <c r="X355" s="115">
        <f t="shared" si="67"/>
        <v>-48684800.338199995</v>
      </c>
      <c r="Y355" s="259" t="s">
        <v>743</v>
      </c>
      <c r="AI355" s="20">
        <v>60</v>
      </c>
      <c r="AJ355" s="20" t="s">
        <v>4882</v>
      </c>
      <c r="AK355" s="115">
        <v>50000</v>
      </c>
      <c r="AL355" s="20">
        <v>0</v>
      </c>
      <c r="AM355" s="20">
        <f t="shared" si="70"/>
        <v>678</v>
      </c>
      <c r="AN355" s="20">
        <f t="shared" si="71"/>
        <v>33900000</v>
      </c>
      <c r="AO355" s="20"/>
    </row>
    <row r="356" spans="18:46">
      <c r="R356" s="97" t="s">
        <v>4945</v>
      </c>
      <c r="S356" s="93">
        <v>-5949277</v>
      </c>
      <c r="U356" s="19" t="s">
        <v>5574</v>
      </c>
      <c r="V356" s="19">
        <v>977</v>
      </c>
      <c r="W356" s="115">
        <v>2317.971947</v>
      </c>
      <c r="X356" s="115">
        <f t="shared" si="67"/>
        <v>2264658.5922190002</v>
      </c>
      <c r="Y356" s="259" t="s">
        <v>5095</v>
      </c>
      <c r="AI356" s="147">
        <v>61</v>
      </c>
      <c r="AJ356" s="147" t="s">
        <v>4882</v>
      </c>
      <c r="AK356" s="186">
        <v>50000</v>
      </c>
      <c r="AL356" s="147">
        <v>3</v>
      </c>
      <c r="AM356" s="147">
        <f t="shared" si="70"/>
        <v>678</v>
      </c>
      <c r="AN356" s="147">
        <f t="shared" si="71"/>
        <v>33900000</v>
      </c>
      <c r="AO356" s="147"/>
    </row>
    <row r="357" spans="18:46">
      <c r="R357" s="97" t="s">
        <v>4951</v>
      </c>
      <c r="S357" s="93">
        <v>-15370656</v>
      </c>
      <c r="U357" s="19" t="s">
        <v>5576</v>
      </c>
      <c r="V357" s="19">
        <v>10280</v>
      </c>
      <c r="W357" s="115">
        <v>2225.429357</v>
      </c>
      <c r="X357" s="115">
        <f t="shared" si="67"/>
        <v>22877413.789960001</v>
      </c>
      <c r="Y357" s="259" t="s">
        <v>5095</v>
      </c>
      <c r="AI357" s="20">
        <v>62</v>
      </c>
      <c r="AJ357" s="20" t="s">
        <v>4885</v>
      </c>
      <c r="AK357" s="115">
        <v>50000</v>
      </c>
      <c r="AL357" s="20">
        <v>0</v>
      </c>
      <c r="AM357" s="20">
        <f t="shared" si="70"/>
        <v>675</v>
      </c>
      <c r="AN357" s="20">
        <f t="shared" si="71"/>
        <v>33750000</v>
      </c>
      <c r="AO357" s="20"/>
    </row>
    <row r="358" spans="18:46" ht="18" customHeight="1">
      <c r="R358" s="97" t="s">
        <v>4951</v>
      </c>
      <c r="S358" s="93">
        <v>4960000</v>
      </c>
      <c r="U358" s="19" t="s">
        <v>5579</v>
      </c>
      <c r="V358" s="19">
        <v>1022</v>
      </c>
      <c r="W358" s="115">
        <v>2311.6824240000001</v>
      </c>
      <c r="X358" s="115">
        <f t="shared" si="67"/>
        <v>2362539.4373280001</v>
      </c>
      <c r="Y358" s="259" t="s">
        <v>5095</v>
      </c>
      <c r="AI358" s="191">
        <v>63</v>
      </c>
      <c r="AJ358" s="191" t="s">
        <v>4885</v>
      </c>
      <c r="AK358" s="192">
        <v>50000</v>
      </c>
      <c r="AL358" s="191">
        <v>2</v>
      </c>
      <c r="AM358" s="191">
        <f t="shared" si="70"/>
        <v>675</v>
      </c>
      <c r="AN358" s="191">
        <f t="shared" si="71"/>
        <v>33750000</v>
      </c>
      <c r="AO358" s="191"/>
      <c r="AT358" t="s">
        <v>25</v>
      </c>
    </row>
    <row r="359" spans="18:46" ht="21" customHeight="1">
      <c r="R359" s="97" t="s">
        <v>4958</v>
      </c>
      <c r="S359" s="93">
        <v>10000000</v>
      </c>
      <c r="U359" s="19" t="s">
        <v>5580</v>
      </c>
      <c r="V359" s="19">
        <v>6818</v>
      </c>
      <c r="W359" s="115">
        <v>2352.988656</v>
      </c>
      <c r="X359" s="115">
        <f t="shared" si="67"/>
        <v>16042676.656608</v>
      </c>
      <c r="Y359" s="259" t="s">
        <v>5095</v>
      </c>
      <c r="AI359" s="20">
        <v>64</v>
      </c>
      <c r="AJ359" s="20" t="s">
        <v>4892</v>
      </c>
      <c r="AK359" s="115">
        <v>25000</v>
      </c>
      <c r="AL359" s="20">
        <v>0</v>
      </c>
      <c r="AM359" s="20">
        <f t="shared" si="70"/>
        <v>673</v>
      </c>
      <c r="AN359" s="20">
        <f t="shared" si="71"/>
        <v>16825000</v>
      </c>
      <c r="AO359" s="20"/>
    </row>
    <row r="360" spans="18:46">
      <c r="R360" s="97" t="s">
        <v>4967</v>
      </c>
      <c r="S360" s="93">
        <v>-40570100</v>
      </c>
      <c r="U360" s="19" t="s">
        <v>5581</v>
      </c>
      <c r="V360" s="19">
        <v>8023</v>
      </c>
      <c r="W360" s="115">
        <v>2293.8167079999998</v>
      </c>
      <c r="X360" s="115">
        <f t="shared" si="67"/>
        <v>18403291.448284</v>
      </c>
      <c r="Y360" s="259" t="s">
        <v>5095</v>
      </c>
      <c r="AI360" s="147">
        <v>65</v>
      </c>
      <c r="AJ360" s="147" t="s">
        <v>4892</v>
      </c>
      <c r="AK360" s="186">
        <v>35000</v>
      </c>
      <c r="AL360" s="147">
        <v>7</v>
      </c>
      <c r="AM360" s="147">
        <f t="shared" si="70"/>
        <v>673</v>
      </c>
      <c r="AN360" s="147">
        <f t="shared" si="71"/>
        <v>23555000</v>
      </c>
      <c r="AO360" s="147"/>
    </row>
    <row r="361" spans="18:46">
      <c r="R361" s="97" t="s">
        <v>4968</v>
      </c>
      <c r="S361" s="93">
        <v>1000000</v>
      </c>
      <c r="U361" s="19" t="s">
        <v>5584</v>
      </c>
      <c r="V361" s="19">
        <v>4666</v>
      </c>
      <c r="W361" s="115">
        <v>2263.4906230000001</v>
      </c>
      <c r="X361" s="115">
        <f t="shared" si="67"/>
        <v>10561447.246918</v>
      </c>
      <c r="Y361" s="259" t="s">
        <v>5095</v>
      </c>
      <c r="AI361" s="147">
        <v>66</v>
      </c>
      <c r="AJ361" s="147" t="s">
        <v>4900</v>
      </c>
      <c r="AK361" s="186">
        <v>30000000</v>
      </c>
      <c r="AL361" s="147">
        <v>0</v>
      </c>
      <c r="AM361" s="147">
        <f t="shared" ref="AM361:AM380" si="72">AL361+AM362</f>
        <v>666</v>
      </c>
      <c r="AN361" s="147">
        <f t="shared" ref="AN361:AN380" si="73">AK361*AM361</f>
        <v>19980000000</v>
      </c>
      <c r="AO361" s="147"/>
    </row>
    <row r="362" spans="18:46" ht="18.75" customHeight="1">
      <c r="R362" s="97" t="s">
        <v>4975</v>
      </c>
      <c r="S362" s="93">
        <v>400000</v>
      </c>
      <c r="U362" s="19" t="s">
        <v>5585</v>
      </c>
      <c r="V362" s="19">
        <v>542</v>
      </c>
      <c r="W362" s="115">
        <v>2263.4906230000001</v>
      </c>
      <c r="X362" s="115">
        <f t="shared" si="67"/>
        <v>1226811.9176660001</v>
      </c>
      <c r="Y362" s="259" t="s">
        <v>5095</v>
      </c>
      <c r="AI362" s="20">
        <v>67</v>
      </c>
      <c r="AJ362" s="20" t="s">
        <v>4900</v>
      </c>
      <c r="AK362" s="115">
        <v>6800000</v>
      </c>
      <c r="AL362" s="20">
        <v>1</v>
      </c>
      <c r="AM362" s="20">
        <f t="shared" si="72"/>
        <v>666</v>
      </c>
      <c r="AN362" s="20">
        <f t="shared" si="73"/>
        <v>4528800000</v>
      </c>
      <c r="AO362" s="20"/>
    </row>
    <row r="363" spans="18:46">
      <c r="R363" s="97" t="s">
        <v>4989</v>
      </c>
      <c r="S363" s="93">
        <v>120000</v>
      </c>
      <c r="T363" t="s">
        <v>25</v>
      </c>
      <c r="U363" s="19" t="s">
        <v>5586</v>
      </c>
      <c r="V363" s="19">
        <v>16629</v>
      </c>
      <c r="W363" s="115">
        <v>2367.7887540000002</v>
      </c>
      <c r="X363" s="115">
        <f t="shared" si="67"/>
        <v>39373959.190266006</v>
      </c>
      <c r="Y363" s="259" t="s">
        <v>5095</v>
      </c>
      <c r="AI363" s="20">
        <v>68</v>
      </c>
      <c r="AJ363" s="20" t="s">
        <v>4903</v>
      </c>
      <c r="AK363" s="115">
        <v>500000</v>
      </c>
      <c r="AL363" s="20">
        <v>1</v>
      </c>
      <c r="AM363" s="20">
        <f t="shared" si="72"/>
        <v>665</v>
      </c>
      <c r="AN363" s="20">
        <f t="shared" si="73"/>
        <v>332500000</v>
      </c>
      <c r="AO363" s="20"/>
    </row>
    <row r="364" spans="18:46">
      <c r="R364" s="97" t="s">
        <v>4980</v>
      </c>
      <c r="S364" s="93">
        <v>500000</v>
      </c>
      <c r="U364" s="19" t="s">
        <v>5591</v>
      </c>
      <c r="V364" s="19">
        <v>11765</v>
      </c>
      <c r="W364" s="115">
        <v>2354.7375320000001</v>
      </c>
      <c r="X364" s="115">
        <f t="shared" si="67"/>
        <v>27703487.063980002</v>
      </c>
      <c r="Y364" s="259" t="s">
        <v>5095</v>
      </c>
      <c r="AI364" s="20">
        <v>69</v>
      </c>
      <c r="AJ364" s="20" t="s">
        <v>4907</v>
      </c>
      <c r="AK364" s="115">
        <v>850000</v>
      </c>
      <c r="AL364" s="20">
        <v>5</v>
      </c>
      <c r="AM364" s="20">
        <f t="shared" si="72"/>
        <v>664</v>
      </c>
      <c r="AN364" s="20">
        <f t="shared" si="73"/>
        <v>564400000</v>
      </c>
      <c r="AO364" s="20"/>
    </row>
    <row r="365" spans="18:46">
      <c r="R365" s="97" t="s">
        <v>5005</v>
      </c>
      <c r="S365" s="93">
        <v>744000</v>
      </c>
      <c r="U365" s="19" t="s">
        <v>5592</v>
      </c>
      <c r="V365" s="19">
        <v>3672</v>
      </c>
      <c r="W365" s="115">
        <v>2379.873826</v>
      </c>
      <c r="X365" s="115">
        <f t="shared" si="67"/>
        <v>8738896.6890719999</v>
      </c>
      <c r="Y365" s="259" t="s">
        <v>5095</v>
      </c>
      <c r="AA365" t="s">
        <v>25</v>
      </c>
      <c r="AI365" s="20">
        <v>70</v>
      </c>
      <c r="AJ365" s="20" t="s">
        <v>4915</v>
      </c>
      <c r="AK365" s="115">
        <v>1130250</v>
      </c>
      <c r="AL365" s="20">
        <v>0</v>
      </c>
      <c r="AM365" s="20">
        <f t="shared" si="72"/>
        <v>659</v>
      </c>
      <c r="AN365" s="20">
        <f t="shared" si="73"/>
        <v>744834750</v>
      </c>
      <c r="AO365" s="20"/>
    </row>
    <row r="366" spans="18:46">
      <c r="R366" s="97" t="s">
        <v>5010</v>
      </c>
      <c r="S366" s="93">
        <v>65000</v>
      </c>
      <c r="U366" s="19" t="s">
        <v>4182</v>
      </c>
      <c r="V366" s="19">
        <v>140</v>
      </c>
      <c r="W366" s="115">
        <v>2487.154767</v>
      </c>
      <c r="X366" s="115">
        <f t="shared" si="67"/>
        <v>348201.66738</v>
      </c>
      <c r="Y366" s="259" t="s">
        <v>5095</v>
      </c>
      <c r="AI366" s="239">
        <v>71</v>
      </c>
      <c r="AJ366" s="239" t="s">
        <v>4915</v>
      </c>
      <c r="AK366" s="230">
        <v>30000</v>
      </c>
      <c r="AL366" s="239">
        <v>5</v>
      </c>
      <c r="AM366" s="239">
        <f t="shared" si="72"/>
        <v>659</v>
      </c>
      <c r="AN366" s="239">
        <f t="shared" si="73"/>
        <v>19770000</v>
      </c>
      <c r="AO366" s="239"/>
    </row>
    <row r="367" spans="18:46">
      <c r="R367" s="97" t="s">
        <v>4981</v>
      </c>
      <c r="S367" s="93">
        <v>-14053702</v>
      </c>
      <c r="U367" s="19" t="s">
        <v>5594</v>
      </c>
      <c r="V367" s="19">
        <v>1616</v>
      </c>
      <c r="W367" s="115">
        <v>2573.0760479999999</v>
      </c>
      <c r="X367" s="115">
        <f t="shared" si="67"/>
        <v>4158090.8935679998</v>
      </c>
      <c r="Y367" s="259" t="s">
        <v>5095</v>
      </c>
      <c r="AI367" s="20">
        <v>72</v>
      </c>
      <c r="AJ367" s="20" t="s">
        <v>4923</v>
      </c>
      <c r="AK367" s="115">
        <v>206000</v>
      </c>
      <c r="AL367" s="20">
        <v>0</v>
      </c>
      <c r="AM367" s="20">
        <f t="shared" si="72"/>
        <v>654</v>
      </c>
      <c r="AN367" s="20">
        <f t="shared" si="73"/>
        <v>134724000</v>
      </c>
      <c r="AO367" s="20"/>
    </row>
    <row r="368" spans="18:46">
      <c r="R368" s="97" t="s">
        <v>5046</v>
      </c>
      <c r="S368" s="93">
        <v>3555678</v>
      </c>
      <c r="U368" s="187" t="s">
        <v>5595</v>
      </c>
      <c r="V368" s="187">
        <v>5682</v>
      </c>
      <c r="W368" s="186">
        <v>2639.970566</v>
      </c>
      <c r="X368" s="186">
        <f t="shared" si="67"/>
        <v>15000312.756012</v>
      </c>
      <c r="Y368" s="258" t="s">
        <v>5814</v>
      </c>
      <c r="AC368" t="s">
        <v>25</v>
      </c>
      <c r="AI368" s="147">
        <v>73</v>
      </c>
      <c r="AJ368" s="147" t="s">
        <v>4923</v>
      </c>
      <c r="AK368" s="186">
        <v>206000</v>
      </c>
      <c r="AL368" s="147">
        <v>2</v>
      </c>
      <c r="AM368" s="147">
        <f t="shared" si="72"/>
        <v>654</v>
      </c>
      <c r="AN368" s="147">
        <f t="shared" si="73"/>
        <v>134724000</v>
      </c>
      <c r="AO368" s="147"/>
    </row>
    <row r="369" spans="18:46" ht="30">
      <c r="R369" s="97" t="s">
        <v>5050</v>
      </c>
      <c r="S369" s="93">
        <v>3495</v>
      </c>
      <c r="U369" s="187" t="s">
        <v>5595</v>
      </c>
      <c r="V369" s="187">
        <v>-122</v>
      </c>
      <c r="W369" s="186">
        <v>2639.970566</v>
      </c>
      <c r="X369" s="186">
        <f t="shared" si="67"/>
        <v>-322076.40905199997</v>
      </c>
      <c r="Y369" s="258" t="s">
        <v>5841</v>
      </c>
      <c r="Z369" t="s">
        <v>25</v>
      </c>
      <c r="AI369" s="20">
        <v>74</v>
      </c>
      <c r="AJ369" s="20" t="s">
        <v>4930</v>
      </c>
      <c r="AK369" s="115">
        <v>50000</v>
      </c>
      <c r="AL369" s="20">
        <v>0</v>
      </c>
      <c r="AM369" s="20">
        <f t="shared" si="72"/>
        <v>652</v>
      </c>
      <c r="AN369" s="20">
        <f t="shared" si="73"/>
        <v>32600000</v>
      </c>
      <c r="AO369" s="20"/>
    </row>
    <row r="370" spans="18:46">
      <c r="R370" s="97" t="s">
        <v>5052</v>
      </c>
      <c r="S370" s="93">
        <v>6000000</v>
      </c>
      <c r="U370" s="19" t="s">
        <v>5595</v>
      </c>
      <c r="V370" s="19">
        <v>2272</v>
      </c>
      <c r="W370" s="115">
        <v>2639.970566</v>
      </c>
      <c r="X370" s="115">
        <f t="shared" si="67"/>
        <v>5998013.1259519998</v>
      </c>
      <c r="Y370" s="259" t="s">
        <v>5604</v>
      </c>
      <c r="AI370" s="239">
        <v>75</v>
      </c>
      <c r="AJ370" s="239" t="s">
        <v>4930</v>
      </c>
      <c r="AK370" s="230">
        <v>50000</v>
      </c>
      <c r="AL370" s="239">
        <v>2</v>
      </c>
      <c r="AM370" s="239">
        <f t="shared" si="72"/>
        <v>652</v>
      </c>
      <c r="AN370" s="239">
        <f t="shared" si="73"/>
        <v>32600000</v>
      </c>
      <c r="AO370" s="239"/>
    </row>
    <row r="371" spans="18:46" ht="30">
      <c r="R371" s="97" t="s">
        <v>5053</v>
      </c>
      <c r="S371" s="93">
        <v>17220</v>
      </c>
      <c r="U371" s="19" t="s">
        <v>5595</v>
      </c>
      <c r="V371" s="19">
        <v>4434</v>
      </c>
      <c r="W371" s="115">
        <v>2639.970566</v>
      </c>
      <c r="X371" s="115">
        <f t="shared" si="67"/>
        <v>11705629.489644</v>
      </c>
      <c r="Y371" s="259" t="s">
        <v>5605</v>
      </c>
      <c r="AB371" t="s">
        <v>25</v>
      </c>
      <c r="AI371" s="20">
        <v>76</v>
      </c>
      <c r="AJ371" s="20" t="s">
        <v>4934</v>
      </c>
      <c r="AK371" s="115">
        <v>20000000</v>
      </c>
      <c r="AL371" s="20">
        <v>7</v>
      </c>
      <c r="AM371" s="20">
        <f t="shared" si="72"/>
        <v>650</v>
      </c>
      <c r="AN371" s="20">
        <f t="shared" si="73"/>
        <v>13000000000</v>
      </c>
      <c r="AO371" s="20" t="s">
        <v>4935</v>
      </c>
    </row>
    <row r="372" spans="18:46">
      <c r="R372" s="97" t="s">
        <v>5055</v>
      </c>
      <c r="S372" s="93">
        <v>8249</v>
      </c>
      <c r="U372" s="19" t="s">
        <v>5595</v>
      </c>
      <c r="V372" s="19">
        <v>2349</v>
      </c>
      <c r="W372" s="115">
        <v>2639.970566</v>
      </c>
      <c r="X372" s="115">
        <f t="shared" si="67"/>
        <v>6201290.859534</v>
      </c>
      <c r="Y372" s="259" t="s">
        <v>5606</v>
      </c>
      <c r="AI372" s="20">
        <v>77</v>
      </c>
      <c r="AJ372" s="20" t="s">
        <v>4945</v>
      </c>
      <c r="AK372" s="115">
        <v>50000</v>
      </c>
      <c r="AL372" s="20">
        <v>0</v>
      </c>
      <c r="AM372" s="20">
        <f t="shared" si="72"/>
        <v>643</v>
      </c>
      <c r="AN372" s="20">
        <f t="shared" si="73"/>
        <v>32150000</v>
      </c>
      <c r="AO372" s="20"/>
      <c r="AS372" t="s">
        <v>25</v>
      </c>
    </row>
    <row r="373" spans="18:46">
      <c r="R373" s="97" t="s">
        <v>5055</v>
      </c>
      <c r="S373" s="93">
        <v>6937</v>
      </c>
      <c r="U373" s="19" t="s">
        <v>5595</v>
      </c>
      <c r="V373" s="19">
        <v>-568</v>
      </c>
      <c r="W373" s="115">
        <v>2639.970566</v>
      </c>
      <c r="X373" s="115">
        <f t="shared" si="67"/>
        <v>-1499503.2814879999</v>
      </c>
      <c r="Y373" s="259" t="s">
        <v>5607</v>
      </c>
      <c r="Z373" t="s">
        <v>25</v>
      </c>
      <c r="AI373" s="147">
        <v>78</v>
      </c>
      <c r="AJ373" s="147" t="s">
        <v>4945</v>
      </c>
      <c r="AK373" s="186">
        <v>50000</v>
      </c>
      <c r="AL373" s="147">
        <v>7</v>
      </c>
      <c r="AM373" s="147">
        <f t="shared" si="72"/>
        <v>643</v>
      </c>
      <c r="AN373" s="147">
        <f t="shared" si="73"/>
        <v>32150000</v>
      </c>
      <c r="AO373" s="147"/>
    </row>
    <row r="374" spans="18:46">
      <c r="R374" s="97" t="s">
        <v>5058</v>
      </c>
      <c r="S374" s="93">
        <v>4046552</v>
      </c>
      <c r="U374" s="19" t="s">
        <v>5595</v>
      </c>
      <c r="V374" s="19">
        <v>568</v>
      </c>
      <c r="W374" s="115">
        <v>2639.970566</v>
      </c>
      <c r="X374" s="115">
        <f t="shared" si="67"/>
        <v>1499503.2814879999</v>
      </c>
      <c r="Y374" s="259" t="s">
        <v>5607</v>
      </c>
      <c r="AI374" s="20">
        <v>79</v>
      </c>
      <c r="AJ374" s="20" t="s">
        <v>4951</v>
      </c>
      <c r="AK374" s="115">
        <v>2480000</v>
      </c>
      <c r="AL374" s="20">
        <v>0</v>
      </c>
      <c r="AM374" s="20">
        <f t="shared" si="72"/>
        <v>636</v>
      </c>
      <c r="AN374" s="20">
        <f t="shared" si="73"/>
        <v>1577280000</v>
      </c>
      <c r="AO374" s="20"/>
      <c r="AT374" t="s">
        <v>25</v>
      </c>
    </row>
    <row r="375" spans="18:46">
      <c r="R375" s="97" t="s">
        <v>5065</v>
      </c>
      <c r="S375" s="93">
        <v>-3884943</v>
      </c>
      <c r="U375" s="19" t="s">
        <v>5598</v>
      </c>
      <c r="V375" s="19">
        <v>4589</v>
      </c>
      <c r="W375" s="115">
        <v>2639.970566</v>
      </c>
      <c r="X375" s="115">
        <f t="shared" si="67"/>
        <v>12114824.927374</v>
      </c>
      <c r="Y375" s="259" t="s">
        <v>5608</v>
      </c>
      <c r="Z375" t="s">
        <v>25</v>
      </c>
      <c r="AI375" s="147">
        <v>80</v>
      </c>
      <c r="AJ375" s="147" t="s">
        <v>4951</v>
      </c>
      <c r="AK375" s="186">
        <v>2480000</v>
      </c>
      <c r="AL375" s="147">
        <v>12</v>
      </c>
      <c r="AM375" s="147">
        <f t="shared" si="72"/>
        <v>636</v>
      </c>
      <c r="AN375" s="147">
        <f t="shared" si="73"/>
        <v>1577280000</v>
      </c>
      <c r="AO375" s="147"/>
    </row>
    <row r="376" spans="18:46">
      <c r="R376" s="97" t="s">
        <v>5091</v>
      </c>
      <c r="S376" s="93">
        <v>6022</v>
      </c>
      <c r="U376" s="19" t="s">
        <v>5598</v>
      </c>
      <c r="V376" s="19">
        <v>41959</v>
      </c>
      <c r="W376" s="115">
        <v>2639.970566</v>
      </c>
      <c r="X376" s="115">
        <f t="shared" ref="X376:X561" si="74">V376*W376</f>
        <v>110770524.97879399</v>
      </c>
      <c r="Y376" s="259" t="s">
        <v>5095</v>
      </c>
      <c r="AI376" s="20">
        <v>81</v>
      </c>
      <c r="AJ376" s="20" t="s">
        <v>4958</v>
      </c>
      <c r="AK376" s="115">
        <v>-24159500</v>
      </c>
      <c r="AL376" s="20">
        <v>4</v>
      </c>
      <c r="AM376" s="20">
        <f t="shared" si="72"/>
        <v>624</v>
      </c>
      <c r="AN376" s="20">
        <f t="shared" si="73"/>
        <v>-15075528000</v>
      </c>
      <c r="AO376" s="20" t="s">
        <v>4966</v>
      </c>
    </row>
    <row r="377" spans="18:46">
      <c r="R377" s="97" t="s">
        <v>5094</v>
      </c>
      <c r="S377" s="93">
        <v>400000</v>
      </c>
      <c r="U377" s="19" t="s">
        <v>5610</v>
      </c>
      <c r="V377" s="19">
        <v>2486</v>
      </c>
      <c r="W377" s="115">
        <v>2688.7156100000002</v>
      </c>
      <c r="X377" s="115">
        <f t="shared" si="74"/>
        <v>6684147.0064600008</v>
      </c>
      <c r="Y377" s="259" t="s">
        <v>5095</v>
      </c>
      <c r="AI377" s="20">
        <v>82</v>
      </c>
      <c r="AJ377" s="20" t="s">
        <v>4968</v>
      </c>
      <c r="AK377" s="115">
        <v>400000</v>
      </c>
      <c r="AL377" s="20">
        <v>3</v>
      </c>
      <c r="AM377" s="20">
        <f t="shared" si="72"/>
        <v>620</v>
      </c>
      <c r="AN377" s="20">
        <f t="shared" si="73"/>
        <v>248000000</v>
      </c>
      <c r="AO377" s="20"/>
      <c r="AS377" t="s">
        <v>25</v>
      </c>
    </row>
    <row r="378" spans="18:46">
      <c r="R378" s="97" t="s">
        <v>5094</v>
      </c>
      <c r="S378" s="93">
        <v>92847</v>
      </c>
      <c r="U378" s="19" t="s">
        <v>5613</v>
      </c>
      <c r="V378" s="19">
        <v>652</v>
      </c>
      <c r="W378" s="115">
        <v>2801.4344030000002</v>
      </c>
      <c r="X378" s="115">
        <f t="shared" si="74"/>
        <v>1826535.2307560001</v>
      </c>
      <c r="Y378" s="259" t="s">
        <v>5095</v>
      </c>
      <c r="AI378" s="147">
        <v>83</v>
      </c>
      <c r="AJ378" s="147" t="s">
        <v>4975</v>
      </c>
      <c r="AK378" s="186">
        <v>40000</v>
      </c>
      <c r="AL378" s="147">
        <v>0</v>
      </c>
      <c r="AM378" s="147">
        <f t="shared" si="72"/>
        <v>617</v>
      </c>
      <c r="AN378" s="147">
        <f t="shared" si="73"/>
        <v>24680000</v>
      </c>
      <c r="AO378" s="147"/>
    </row>
    <row r="379" spans="18:46">
      <c r="R379" s="97" t="s">
        <v>5098</v>
      </c>
      <c r="S379" s="93">
        <v>-100000</v>
      </c>
      <c r="U379" s="187" t="s">
        <v>5613</v>
      </c>
      <c r="V379" s="187">
        <v>-536</v>
      </c>
      <c r="W379" s="186">
        <v>2801.4344030000002</v>
      </c>
      <c r="X379" s="186">
        <f t="shared" si="74"/>
        <v>-1501568.8400080001</v>
      </c>
      <c r="Y379" s="258" t="s">
        <v>5625</v>
      </c>
      <c r="AI379" s="20">
        <v>84</v>
      </c>
      <c r="AJ379" s="20" t="s">
        <v>4975</v>
      </c>
      <c r="AK379" s="115">
        <v>40000</v>
      </c>
      <c r="AL379" s="20">
        <v>5</v>
      </c>
      <c r="AM379" s="20">
        <f t="shared" si="72"/>
        <v>617</v>
      </c>
      <c r="AN379" s="20">
        <f t="shared" si="73"/>
        <v>24680000</v>
      </c>
      <c r="AO379" s="20"/>
    </row>
    <row r="380" spans="18:46">
      <c r="R380" s="97" t="s">
        <v>5103</v>
      </c>
      <c r="S380" s="93">
        <v>10000000</v>
      </c>
      <c r="U380" s="19" t="s">
        <v>5617</v>
      </c>
      <c r="V380" s="19">
        <v>1351</v>
      </c>
      <c r="W380" s="115">
        <v>2647.94</v>
      </c>
      <c r="X380" s="115">
        <f t="shared" si="74"/>
        <v>3577366.94</v>
      </c>
      <c r="Y380" s="259" t="s">
        <v>5095</v>
      </c>
      <c r="AI380" s="20">
        <v>85</v>
      </c>
      <c r="AJ380" s="20" t="s">
        <v>4983</v>
      </c>
      <c r="AK380" s="115">
        <v>200000</v>
      </c>
      <c r="AL380" s="20">
        <v>1</v>
      </c>
      <c r="AM380" s="20">
        <f t="shared" si="72"/>
        <v>612</v>
      </c>
      <c r="AN380" s="20">
        <f t="shared" si="73"/>
        <v>122400000</v>
      </c>
      <c r="AO380" s="20"/>
    </row>
    <row r="381" spans="18:46">
      <c r="R381" s="97" t="s">
        <v>5107</v>
      </c>
      <c r="S381" s="93">
        <v>-400000</v>
      </c>
      <c r="U381" s="19" t="s">
        <v>5619</v>
      </c>
      <c r="V381" s="19">
        <v>8402</v>
      </c>
      <c r="W381" s="115">
        <v>2527.8539839999999</v>
      </c>
      <c r="X381" s="115">
        <f t="shared" si="74"/>
        <v>21239029.173567999</v>
      </c>
      <c r="Y381" s="259" t="s">
        <v>5095</v>
      </c>
      <c r="AI381" s="20">
        <v>86</v>
      </c>
      <c r="AJ381" s="20" t="s">
        <v>4987</v>
      </c>
      <c r="AK381" s="115">
        <v>500000</v>
      </c>
      <c r="AL381" s="20">
        <v>2</v>
      </c>
      <c r="AM381" s="20">
        <f t="shared" ref="AM381:AM410" si="75">AL381+AM382</f>
        <v>611</v>
      </c>
      <c r="AN381" s="20">
        <f t="shared" ref="AN381:AN410" si="76">AK381*AM381</f>
        <v>305500000</v>
      </c>
      <c r="AO381" s="20"/>
      <c r="AQ381" t="s">
        <v>25</v>
      </c>
    </row>
    <row r="382" spans="18:46">
      <c r="R382" s="97" t="s">
        <v>5109</v>
      </c>
      <c r="S382" s="93">
        <v>5649</v>
      </c>
      <c r="U382" s="19" t="s">
        <v>5622</v>
      </c>
      <c r="V382" s="19">
        <v>98141</v>
      </c>
      <c r="W382" s="115">
        <v>2475.593813</v>
      </c>
      <c r="X382" s="115">
        <f t="shared" si="74"/>
        <v>242957252.40163299</v>
      </c>
      <c r="Y382" s="259" t="s">
        <v>5095</v>
      </c>
      <c r="AI382" s="20">
        <v>87</v>
      </c>
      <c r="AJ382" s="20" t="s">
        <v>4989</v>
      </c>
      <c r="AK382" s="115">
        <v>500000</v>
      </c>
      <c r="AL382" s="20">
        <v>3</v>
      </c>
      <c r="AM382" s="20">
        <f t="shared" si="75"/>
        <v>609</v>
      </c>
      <c r="AN382" s="20">
        <f t="shared" si="76"/>
        <v>304500000</v>
      </c>
      <c r="AO382" s="20"/>
    </row>
    <row r="383" spans="18:46">
      <c r="R383" s="97" t="s">
        <v>5110</v>
      </c>
      <c r="S383" s="93">
        <v>460000</v>
      </c>
      <c r="U383" s="19" t="s">
        <v>5626</v>
      </c>
      <c r="V383" s="19">
        <v>2910</v>
      </c>
      <c r="W383" s="115">
        <v>2528.240988</v>
      </c>
      <c r="X383" s="115">
        <f t="shared" si="74"/>
        <v>7357181.2750800001</v>
      </c>
      <c r="Y383" s="259" t="s">
        <v>5095</v>
      </c>
      <c r="AA383" t="s">
        <v>25</v>
      </c>
      <c r="AI383" s="20">
        <v>88</v>
      </c>
      <c r="AJ383" s="20" t="s">
        <v>4980</v>
      </c>
      <c r="AK383" s="115">
        <v>250000</v>
      </c>
      <c r="AL383" s="20">
        <v>0</v>
      </c>
      <c r="AM383" s="20">
        <f t="shared" si="75"/>
        <v>606</v>
      </c>
      <c r="AN383" s="20">
        <f t="shared" si="76"/>
        <v>151500000</v>
      </c>
      <c r="AO383" s="20"/>
    </row>
    <row r="384" spans="18:46">
      <c r="R384" s="97" t="s">
        <v>5110</v>
      </c>
      <c r="S384" s="93">
        <v>1300000</v>
      </c>
      <c r="U384" s="19" t="s">
        <v>5628</v>
      </c>
      <c r="V384" s="19">
        <v>5652</v>
      </c>
      <c r="W384" s="115">
        <v>2645.3312000000001</v>
      </c>
      <c r="X384" s="115">
        <f t="shared" si="74"/>
        <v>14951411.942400001</v>
      </c>
      <c r="Y384" s="259" t="s">
        <v>5095</v>
      </c>
      <c r="AI384" s="239">
        <v>89</v>
      </c>
      <c r="AJ384" s="239" t="s">
        <v>4980</v>
      </c>
      <c r="AK384" s="230">
        <v>245000</v>
      </c>
      <c r="AL384" s="239">
        <v>16</v>
      </c>
      <c r="AM384" s="239">
        <f t="shared" si="75"/>
        <v>606</v>
      </c>
      <c r="AN384" s="239">
        <f t="shared" si="76"/>
        <v>148470000</v>
      </c>
      <c r="AO384" s="239"/>
    </row>
    <row r="385" spans="16:46">
      <c r="R385" s="97" t="s">
        <v>975</v>
      </c>
      <c r="S385" s="93">
        <v>7300000</v>
      </c>
      <c r="T385" t="s">
        <v>25</v>
      </c>
      <c r="U385" s="19" t="s">
        <v>5632</v>
      </c>
      <c r="V385" s="19">
        <v>18764</v>
      </c>
      <c r="W385" s="115">
        <v>2554.2639829999998</v>
      </c>
      <c r="X385" s="115">
        <f t="shared" si="74"/>
        <v>47928209.377011999</v>
      </c>
      <c r="Y385" s="259" t="s">
        <v>5095</v>
      </c>
      <c r="AI385" s="20">
        <v>90</v>
      </c>
      <c r="AJ385" s="20" t="s">
        <v>5014</v>
      </c>
      <c r="AK385" s="115">
        <v>312598</v>
      </c>
      <c r="AL385" s="20">
        <v>0</v>
      </c>
      <c r="AM385" s="20">
        <f t="shared" si="75"/>
        <v>590</v>
      </c>
      <c r="AN385" s="20">
        <f t="shared" si="76"/>
        <v>184432820</v>
      </c>
      <c r="AO385" s="20"/>
    </row>
    <row r="386" spans="16:46">
      <c r="R386" s="97" t="s">
        <v>4253</v>
      </c>
      <c r="S386" s="93">
        <v>21203</v>
      </c>
      <c r="U386" s="19" t="s">
        <v>5634</v>
      </c>
      <c r="V386" s="19">
        <v>930</v>
      </c>
      <c r="W386" s="115">
        <v>2453.3287089999999</v>
      </c>
      <c r="X386" s="115">
        <f t="shared" si="74"/>
        <v>2281595.69937</v>
      </c>
      <c r="Y386" s="259" t="s">
        <v>5095</v>
      </c>
      <c r="AB386" t="s">
        <v>25</v>
      </c>
      <c r="AI386" s="20">
        <v>91</v>
      </c>
      <c r="AJ386" s="20" t="s">
        <v>5014</v>
      </c>
      <c r="AK386" s="115">
        <v>780000</v>
      </c>
      <c r="AL386" s="20">
        <v>0</v>
      </c>
      <c r="AM386" s="20">
        <f t="shared" si="75"/>
        <v>590</v>
      </c>
      <c r="AN386" s="20">
        <f t="shared" si="76"/>
        <v>460200000</v>
      </c>
      <c r="AO386" s="20"/>
      <c r="AR386" t="s">
        <v>25</v>
      </c>
    </row>
    <row r="387" spans="16:46">
      <c r="R387" s="97" t="s">
        <v>5108</v>
      </c>
      <c r="S387" s="93">
        <v>34550</v>
      </c>
      <c r="U387" s="19" t="s">
        <v>5636</v>
      </c>
      <c r="V387" s="19">
        <v>1167</v>
      </c>
      <c r="W387" s="115">
        <v>2540.6307069999998</v>
      </c>
      <c r="X387" s="115">
        <f t="shared" si="74"/>
        <v>2964916.035069</v>
      </c>
      <c r="Y387" s="259" t="s">
        <v>5095</v>
      </c>
      <c r="AG387" s="94" t="s">
        <v>25</v>
      </c>
      <c r="AI387" s="191">
        <v>92</v>
      </c>
      <c r="AJ387" s="191" t="s">
        <v>5014</v>
      </c>
      <c r="AK387" s="192">
        <v>-300000</v>
      </c>
      <c r="AL387" s="191">
        <v>1</v>
      </c>
      <c r="AM387" s="191">
        <f t="shared" si="75"/>
        <v>590</v>
      </c>
      <c r="AN387" s="191">
        <f t="shared" si="76"/>
        <v>-177000000</v>
      </c>
      <c r="AO387" s="191"/>
    </row>
    <row r="388" spans="16:46">
      <c r="R388" s="97" t="s">
        <v>5145</v>
      </c>
      <c r="S388" s="93">
        <v>-2134406</v>
      </c>
      <c r="U388" s="19" t="s">
        <v>5637</v>
      </c>
      <c r="V388" s="19">
        <v>2538</v>
      </c>
      <c r="W388" s="115">
        <v>2545.5277489999999</v>
      </c>
      <c r="X388" s="115">
        <f t="shared" si="74"/>
        <v>6460549.4269619994</v>
      </c>
      <c r="Y388" s="259" t="s">
        <v>5095</v>
      </c>
      <c r="AA388" t="s">
        <v>25</v>
      </c>
      <c r="AB388" t="s">
        <v>25</v>
      </c>
      <c r="AI388" s="20">
        <v>93</v>
      </c>
      <c r="AJ388" s="20" t="s">
        <v>4981</v>
      </c>
      <c r="AK388" s="115">
        <v>300000</v>
      </c>
      <c r="AL388" s="20">
        <v>0</v>
      </c>
      <c r="AM388" s="20">
        <f t="shared" si="75"/>
        <v>589</v>
      </c>
      <c r="AN388" s="20">
        <f t="shared" si="76"/>
        <v>176700000</v>
      </c>
      <c r="AO388" s="20"/>
      <c r="AT388" t="s">
        <v>25</v>
      </c>
    </row>
    <row r="389" spans="16:46">
      <c r="R389" s="97" t="s">
        <v>5148</v>
      </c>
      <c r="S389" s="93">
        <v>-618906</v>
      </c>
      <c r="U389" s="19" t="s">
        <v>5639</v>
      </c>
      <c r="V389" s="19">
        <v>2106</v>
      </c>
      <c r="W389" s="115">
        <v>2474.9857059999999</v>
      </c>
      <c r="X389" s="115">
        <f t="shared" si="74"/>
        <v>5212319.8968359996</v>
      </c>
      <c r="Y389" s="259" t="s">
        <v>5095</v>
      </c>
      <c r="AB389" t="s">
        <v>25</v>
      </c>
      <c r="AI389" s="20">
        <v>94</v>
      </c>
      <c r="AJ389" s="20" t="s">
        <v>4981</v>
      </c>
      <c r="AK389" s="115">
        <v>8660000</v>
      </c>
      <c r="AL389" s="20">
        <v>8</v>
      </c>
      <c r="AM389" s="20">
        <f t="shared" si="75"/>
        <v>589</v>
      </c>
      <c r="AN389" s="20">
        <f t="shared" si="76"/>
        <v>5100740000</v>
      </c>
      <c r="AO389" s="20"/>
    </row>
    <row r="390" spans="16:46">
      <c r="R390" s="97" t="s">
        <v>5190</v>
      </c>
      <c r="S390" s="93">
        <v>-54615</v>
      </c>
      <c r="U390" s="19" t="s">
        <v>5642</v>
      </c>
      <c r="V390" s="19">
        <v>1801</v>
      </c>
      <c r="W390" s="115">
        <v>2512.2134809999998</v>
      </c>
      <c r="X390" s="115">
        <f t="shared" si="74"/>
        <v>4524496.4792809999</v>
      </c>
      <c r="Y390" s="259" t="s">
        <v>5095</v>
      </c>
      <c r="AI390" s="147">
        <v>95</v>
      </c>
      <c r="AJ390" s="147" t="s">
        <v>5031</v>
      </c>
      <c r="AK390" s="186">
        <v>200000</v>
      </c>
      <c r="AL390" s="147">
        <v>3</v>
      </c>
      <c r="AM390" s="147">
        <f t="shared" si="75"/>
        <v>581</v>
      </c>
      <c r="AN390" s="147">
        <f t="shared" si="76"/>
        <v>116200000</v>
      </c>
      <c r="AO390" s="147"/>
    </row>
    <row r="391" spans="16:46">
      <c r="R391" s="97" t="s">
        <v>5235</v>
      </c>
      <c r="S391" s="93">
        <v>18000000</v>
      </c>
      <c r="U391" s="19" t="s">
        <v>5644</v>
      </c>
      <c r="V391" s="19">
        <v>9184</v>
      </c>
      <c r="W391" s="115">
        <v>2489.76919</v>
      </c>
      <c r="X391" s="115">
        <f t="shared" si="74"/>
        <v>22866040.240959998</v>
      </c>
      <c r="Y391" s="259" t="s">
        <v>5095</v>
      </c>
      <c r="AI391" s="147">
        <v>96</v>
      </c>
      <c r="AJ391" s="147" t="s">
        <v>5034</v>
      </c>
      <c r="AK391" s="186">
        <v>20000</v>
      </c>
      <c r="AL391" s="147">
        <v>1</v>
      </c>
      <c r="AM391" s="147">
        <f t="shared" si="75"/>
        <v>578</v>
      </c>
      <c r="AN391" s="147">
        <f t="shared" si="76"/>
        <v>11560000</v>
      </c>
      <c r="AO391" s="147"/>
    </row>
    <row r="392" spans="16:46">
      <c r="R392" s="97" t="s">
        <v>5242</v>
      </c>
      <c r="S392" s="93">
        <v>20000000</v>
      </c>
      <c r="U392" s="19" t="s">
        <v>5646</v>
      </c>
      <c r="V392" s="19">
        <v>6259</v>
      </c>
      <c r="W392" s="115">
        <v>2453.954988</v>
      </c>
      <c r="X392" s="115">
        <f t="shared" si="74"/>
        <v>15359304.269892</v>
      </c>
      <c r="Y392" s="259" t="s">
        <v>5095</v>
      </c>
      <c r="Z392" t="s">
        <v>25</v>
      </c>
      <c r="AI392" s="20">
        <v>97</v>
      </c>
      <c r="AJ392" s="20" t="s">
        <v>5044</v>
      </c>
      <c r="AK392" s="115">
        <v>14340000</v>
      </c>
      <c r="AL392" s="20">
        <v>7</v>
      </c>
      <c r="AM392" s="20">
        <f t="shared" si="75"/>
        <v>577</v>
      </c>
      <c r="AN392" s="20">
        <f t="shared" si="76"/>
        <v>8274180000</v>
      </c>
      <c r="AO392" s="20"/>
    </row>
    <row r="393" spans="16:46">
      <c r="R393" s="97" t="s">
        <v>5316</v>
      </c>
      <c r="S393" s="93">
        <v>27694196</v>
      </c>
      <c r="U393" s="19" t="s">
        <v>5648</v>
      </c>
      <c r="V393" s="19">
        <v>1223</v>
      </c>
      <c r="W393" s="115">
        <v>2345.4686710000001</v>
      </c>
      <c r="X393" s="115">
        <f t="shared" si="74"/>
        <v>2868508.1846330003</v>
      </c>
      <c r="Y393" s="259" t="s">
        <v>5095</v>
      </c>
      <c r="AI393" s="20">
        <v>98</v>
      </c>
      <c r="AJ393" s="20" t="s">
        <v>5050</v>
      </c>
      <c r="AK393" s="115">
        <v>10000000</v>
      </c>
      <c r="AL393" s="20">
        <v>6</v>
      </c>
      <c r="AM393" s="20">
        <f t="shared" si="75"/>
        <v>570</v>
      </c>
      <c r="AN393" s="20">
        <f t="shared" si="76"/>
        <v>5700000000</v>
      </c>
      <c r="AO393" s="20" t="s">
        <v>4668</v>
      </c>
      <c r="AS393" t="s">
        <v>25</v>
      </c>
    </row>
    <row r="394" spans="16:46">
      <c r="R394" s="97" t="s">
        <v>5317</v>
      </c>
      <c r="S394" s="93">
        <v>7211722</v>
      </c>
      <c r="U394" s="19" t="s">
        <v>5649</v>
      </c>
      <c r="V394" s="19">
        <v>7804</v>
      </c>
      <c r="W394" s="115">
        <v>2236.0831640000001</v>
      </c>
      <c r="X394" s="115">
        <f t="shared" si="74"/>
        <v>17450393.011856001</v>
      </c>
      <c r="Y394" s="259" t="s">
        <v>5095</v>
      </c>
      <c r="AI394" s="20">
        <v>99</v>
      </c>
      <c r="AJ394" s="20" t="s">
        <v>5055</v>
      </c>
      <c r="AK394" s="115">
        <v>4033949</v>
      </c>
      <c r="AL394" s="20">
        <v>2</v>
      </c>
      <c r="AM394" s="20">
        <f t="shared" si="75"/>
        <v>564</v>
      </c>
      <c r="AN394" s="20">
        <f t="shared" si="76"/>
        <v>2275147236</v>
      </c>
      <c r="AO394" s="20" t="s">
        <v>5057</v>
      </c>
    </row>
    <row r="395" spans="16:46">
      <c r="P395" t="s">
        <v>25</v>
      </c>
      <c r="R395" s="97" t="s">
        <v>5321</v>
      </c>
      <c r="S395" s="93">
        <v>8481864</v>
      </c>
      <c r="U395" s="19" t="s">
        <v>5650</v>
      </c>
      <c r="V395" s="19">
        <v>14589</v>
      </c>
      <c r="W395" s="115">
        <v>2151.5486500000002</v>
      </c>
      <c r="X395" s="115">
        <f t="shared" si="74"/>
        <v>31388943.254850004</v>
      </c>
      <c r="Y395" s="259" t="s">
        <v>5095</v>
      </c>
      <c r="AI395" s="147">
        <v>100</v>
      </c>
      <c r="AJ395" s="147" t="s">
        <v>5061</v>
      </c>
      <c r="AK395" s="186">
        <v>11500000</v>
      </c>
      <c r="AL395" s="147">
        <v>2</v>
      </c>
      <c r="AM395" s="147">
        <f t="shared" si="75"/>
        <v>562</v>
      </c>
      <c r="AN395" s="147">
        <f t="shared" si="76"/>
        <v>6463000000</v>
      </c>
      <c r="AO395" s="147" t="s">
        <v>5063</v>
      </c>
    </row>
    <row r="396" spans="16:46">
      <c r="R396" s="97" t="s">
        <v>5325</v>
      </c>
      <c r="S396" s="93">
        <v>1558697</v>
      </c>
      <c r="U396" s="19" t="s">
        <v>5651</v>
      </c>
      <c r="V396" s="19">
        <v>14741</v>
      </c>
      <c r="W396" s="115">
        <v>2097.0148140000001</v>
      </c>
      <c r="X396" s="115">
        <f t="shared" si="74"/>
        <v>30912095.373174001</v>
      </c>
      <c r="Y396" s="259" t="s">
        <v>5095</v>
      </c>
      <c r="Z396" t="s">
        <v>25</v>
      </c>
      <c r="AI396" s="147">
        <v>101</v>
      </c>
      <c r="AJ396" s="147" t="s">
        <v>5065</v>
      </c>
      <c r="AK396" s="186">
        <v>250000</v>
      </c>
      <c r="AL396" s="147">
        <v>3</v>
      </c>
      <c r="AM396" s="147">
        <f t="shared" si="75"/>
        <v>560</v>
      </c>
      <c r="AN396" s="147">
        <f t="shared" si="76"/>
        <v>140000000</v>
      </c>
      <c r="AO396" s="147"/>
    </row>
    <row r="397" spans="16:46">
      <c r="R397" s="97" t="s">
        <v>5326</v>
      </c>
      <c r="S397" s="93">
        <v>9042009</v>
      </c>
      <c r="U397" s="19" t="s">
        <v>5653</v>
      </c>
      <c r="V397" s="19">
        <v>10237</v>
      </c>
      <c r="W397" s="115">
        <v>1914.9092619999999</v>
      </c>
      <c r="X397" s="115">
        <f t="shared" si="74"/>
        <v>19602926.115093999</v>
      </c>
      <c r="Y397" s="259" t="s">
        <v>5095</v>
      </c>
      <c r="AA397" t="s">
        <v>25</v>
      </c>
      <c r="AI397" s="147">
        <v>102</v>
      </c>
      <c r="AJ397" s="147" t="s">
        <v>5090</v>
      </c>
      <c r="AK397" s="186">
        <v>6000000</v>
      </c>
      <c r="AL397" s="147">
        <v>1</v>
      </c>
      <c r="AM397" s="147">
        <f t="shared" si="75"/>
        <v>557</v>
      </c>
      <c r="AN397" s="147">
        <f t="shared" si="76"/>
        <v>3342000000</v>
      </c>
      <c r="AO397" s="147" t="s">
        <v>5063</v>
      </c>
    </row>
    <row r="398" spans="16:46" ht="21" customHeight="1">
      <c r="R398" s="97" t="s">
        <v>5330</v>
      </c>
      <c r="S398" s="93">
        <v>94969</v>
      </c>
      <c r="U398" s="19" t="s">
        <v>5657</v>
      </c>
      <c r="V398" s="19">
        <v>19211</v>
      </c>
      <c r="W398" s="115">
        <v>1793.6906100000001</v>
      </c>
      <c r="X398" s="115">
        <f t="shared" si="74"/>
        <v>34458590.308710001</v>
      </c>
      <c r="Y398" s="259" t="s">
        <v>5095</v>
      </c>
      <c r="AA398" t="s">
        <v>25</v>
      </c>
      <c r="AI398" s="147">
        <v>103</v>
      </c>
      <c r="AJ398" s="147" t="s">
        <v>5091</v>
      </c>
      <c r="AK398" s="186">
        <v>1500000</v>
      </c>
      <c r="AL398" s="147">
        <v>6</v>
      </c>
      <c r="AM398" s="147">
        <f t="shared" si="75"/>
        <v>556</v>
      </c>
      <c r="AN398" s="147">
        <f t="shared" si="76"/>
        <v>834000000</v>
      </c>
      <c r="AO398" s="147" t="s">
        <v>5063</v>
      </c>
    </row>
    <row r="399" spans="16:46">
      <c r="R399" s="97" t="s">
        <v>5330</v>
      </c>
      <c r="S399" s="93">
        <v>40000000</v>
      </c>
      <c r="U399" s="19" t="s">
        <v>5659</v>
      </c>
      <c r="V399" s="19">
        <v>11599</v>
      </c>
      <c r="W399" s="115">
        <v>1870.667144</v>
      </c>
      <c r="X399" s="115">
        <f t="shared" si="74"/>
        <v>21697868.203256</v>
      </c>
      <c r="Y399" s="259" t="s">
        <v>5095</v>
      </c>
      <c r="Z399" t="s">
        <v>25</v>
      </c>
      <c r="AI399" s="20">
        <v>104</v>
      </c>
      <c r="AJ399" s="20" t="s">
        <v>958</v>
      </c>
      <c r="AK399" s="115">
        <v>-3960043</v>
      </c>
      <c r="AL399" s="20">
        <v>2</v>
      </c>
      <c r="AM399" s="20">
        <f t="shared" si="75"/>
        <v>550</v>
      </c>
      <c r="AN399" s="20">
        <f t="shared" si="76"/>
        <v>-2178023650</v>
      </c>
      <c r="AO399" s="20"/>
    </row>
    <row r="400" spans="16:46" ht="18" customHeight="1">
      <c r="R400" s="97" t="s">
        <v>5331</v>
      </c>
      <c r="S400" s="93">
        <v>2806274</v>
      </c>
      <c r="U400" s="19" t="s">
        <v>5661</v>
      </c>
      <c r="V400" s="19">
        <v>14098</v>
      </c>
      <c r="W400" s="115">
        <v>1797.423695</v>
      </c>
      <c r="X400" s="115">
        <f t="shared" si="74"/>
        <v>25340079.252110001</v>
      </c>
      <c r="Y400" s="259" t="s">
        <v>5095</v>
      </c>
      <c r="AI400" s="20">
        <v>105</v>
      </c>
      <c r="AJ400" s="20" t="s">
        <v>5109</v>
      </c>
      <c r="AK400" s="115">
        <v>230000</v>
      </c>
      <c r="AL400" s="20">
        <v>0</v>
      </c>
      <c r="AM400" s="20">
        <f t="shared" si="75"/>
        <v>548</v>
      </c>
      <c r="AN400" s="20">
        <f t="shared" si="76"/>
        <v>126040000</v>
      </c>
      <c r="AO400" s="20"/>
    </row>
    <row r="401" spans="18:46" ht="21" customHeight="1">
      <c r="R401" s="97" t="s">
        <v>5339</v>
      </c>
      <c r="S401" s="93">
        <v>1331702</v>
      </c>
      <c r="U401" s="19" t="s">
        <v>5662</v>
      </c>
      <c r="V401" s="19">
        <v>8497</v>
      </c>
      <c r="W401" s="115">
        <v>1739.5531579999999</v>
      </c>
      <c r="X401" s="115">
        <f t="shared" si="74"/>
        <v>14780983.183526</v>
      </c>
      <c r="Y401" s="259" t="s">
        <v>5095</v>
      </c>
      <c r="AE401" t="s">
        <v>25</v>
      </c>
      <c r="AI401" s="147">
        <v>106</v>
      </c>
      <c r="AJ401" s="147" t="s">
        <v>5109</v>
      </c>
      <c r="AK401" s="186">
        <v>230000</v>
      </c>
      <c r="AL401" s="147">
        <v>1</v>
      </c>
      <c r="AM401" s="147">
        <f t="shared" si="75"/>
        <v>548</v>
      </c>
      <c r="AN401" s="147">
        <f t="shared" si="76"/>
        <v>126040000</v>
      </c>
      <c r="AO401" s="147"/>
    </row>
    <row r="402" spans="18:46" ht="30">
      <c r="R402" s="97" t="s">
        <v>5373</v>
      </c>
      <c r="S402" s="93">
        <v>851238</v>
      </c>
      <c r="U402" s="277" t="s">
        <v>5665</v>
      </c>
      <c r="V402" s="277">
        <v>163820</v>
      </c>
      <c r="W402" s="88">
        <v>1588.685326</v>
      </c>
      <c r="X402" s="88">
        <f t="shared" si="74"/>
        <v>260258430.10532001</v>
      </c>
      <c r="Y402" s="287" t="s">
        <v>5667</v>
      </c>
      <c r="AI402" s="147">
        <v>107</v>
      </c>
      <c r="AJ402" s="147" t="s">
        <v>5110</v>
      </c>
      <c r="AK402" s="186">
        <v>500000</v>
      </c>
      <c r="AL402" s="147">
        <v>1</v>
      </c>
      <c r="AM402" s="147">
        <f t="shared" si="75"/>
        <v>547</v>
      </c>
      <c r="AN402" s="147">
        <f t="shared" si="76"/>
        <v>273500000</v>
      </c>
      <c r="AO402" s="147"/>
      <c r="AT402" t="s">
        <v>25</v>
      </c>
    </row>
    <row r="403" spans="18:46">
      <c r="R403" s="97" t="s">
        <v>5416</v>
      </c>
      <c r="S403" s="93">
        <v>652592</v>
      </c>
      <c r="U403" s="19" t="s">
        <v>5665</v>
      </c>
      <c r="V403" s="19">
        <v>11207</v>
      </c>
      <c r="W403" s="115">
        <v>1588.685326</v>
      </c>
      <c r="X403" s="115">
        <f t="shared" si="74"/>
        <v>17804396.448481999</v>
      </c>
      <c r="Y403" s="259" t="s">
        <v>5095</v>
      </c>
      <c r="Z403" t="s">
        <v>25</v>
      </c>
      <c r="AA403" t="s">
        <v>25</v>
      </c>
      <c r="AI403" s="20">
        <v>108</v>
      </c>
      <c r="AJ403" s="20" t="s">
        <v>5113</v>
      </c>
      <c r="AK403" s="115">
        <v>-880000</v>
      </c>
      <c r="AL403" s="20">
        <v>4</v>
      </c>
      <c r="AM403" s="20">
        <f t="shared" si="75"/>
        <v>546</v>
      </c>
      <c r="AN403" s="20">
        <f t="shared" si="76"/>
        <v>-480480000</v>
      </c>
      <c r="AO403" s="20"/>
    </row>
    <row r="404" spans="18:46">
      <c r="R404" s="97" t="s">
        <v>5417</v>
      </c>
      <c r="S404" s="93">
        <v>554139</v>
      </c>
      <c r="U404" s="19" t="s">
        <v>5668</v>
      </c>
      <c r="V404" s="19">
        <v>7198</v>
      </c>
      <c r="W404" s="115">
        <v>1602.9918909999999</v>
      </c>
      <c r="X404" s="115">
        <f t="shared" si="74"/>
        <v>11538335.631417999</v>
      </c>
      <c r="Y404" s="259" t="s">
        <v>5095</v>
      </c>
      <c r="Z404" t="s">
        <v>25</v>
      </c>
      <c r="AI404" s="191">
        <v>109</v>
      </c>
      <c r="AJ404" s="191" t="s">
        <v>5117</v>
      </c>
      <c r="AK404" s="192">
        <v>873000</v>
      </c>
      <c r="AL404" s="191">
        <v>0</v>
      </c>
      <c r="AM404" s="191">
        <f t="shared" si="75"/>
        <v>542</v>
      </c>
      <c r="AN404" s="191">
        <f t="shared" si="76"/>
        <v>473166000</v>
      </c>
      <c r="AO404" s="191" t="s">
        <v>5063</v>
      </c>
    </row>
    <row r="405" spans="18:46">
      <c r="R405" s="97" t="s">
        <v>5418</v>
      </c>
      <c r="S405" s="93">
        <v>70373089</v>
      </c>
      <c r="U405" s="19" t="s">
        <v>5669</v>
      </c>
      <c r="V405" s="19">
        <v>7804</v>
      </c>
      <c r="W405" s="115">
        <v>1592.7111440000001</v>
      </c>
      <c r="X405" s="115">
        <f t="shared" si="74"/>
        <v>12429517.767776001</v>
      </c>
      <c r="Y405" s="259" t="s">
        <v>5095</v>
      </c>
      <c r="AA405" t="s">
        <v>25</v>
      </c>
      <c r="AI405" s="20">
        <v>110</v>
      </c>
      <c r="AJ405" s="20" t="s">
        <v>5117</v>
      </c>
      <c r="AK405" s="115">
        <v>127000</v>
      </c>
      <c r="AL405" s="20">
        <v>0</v>
      </c>
      <c r="AM405" s="20">
        <f t="shared" si="75"/>
        <v>542</v>
      </c>
      <c r="AN405" s="20">
        <f t="shared" si="76"/>
        <v>68834000</v>
      </c>
      <c r="AO405" s="20" t="s">
        <v>5063</v>
      </c>
    </row>
    <row r="406" spans="18:46">
      <c r="R406" s="97" t="s">
        <v>5419</v>
      </c>
      <c r="S406" s="93">
        <v>1219655</v>
      </c>
      <c r="T406" t="s">
        <v>25</v>
      </c>
      <c r="U406" s="19" t="s">
        <v>5677</v>
      </c>
      <c r="V406" s="19">
        <v>2827</v>
      </c>
      <c r="W406" s="115">
        <v>1779.6874809999999</v>
      </c>
      <c r="X406" s="115">
        <f t="shared" si="74"/>
        <v>5031176.5087869996</v>
      </c>
      <c r="Y406" s="259" t="s">
        <v>5095</v>
      </c>
      <c r="Z406" t="s">
        <v>25</v>
      </c>
      <c r="AI406" s="20">
        <v>111</v>
      </c>
      <c r="AJ406" s="20" t="s">
        <v>5117</v>
      </c>
      <c r="AK406" s="115">
        <v>73000</v>
      </c>
      <c r="AL406" s="20">
        <v>1</v>
      </c>
      <c r="AM406" s="20">
        <f t="shared" si="75"/>
        <v>542</v>
      </c>
      <c r="AN406" s="20">
        <f t="shared" si="76"/>
        <v>39566000</v>
      </c>
      <c r="AO406" s="20"/>
    </row>
    <row r="407" spans="18:46">
      <c r="R407" s="97" t="s">
        <v>5420</v>
      </c>
      <c r="S407" s="93">
        <v>15350146</v>
      </c>
      <c r="U407" s="19" t="s">
        <v>5679</v>
      </c>
      <c r="V407" s="19">
        <v>3385</v>
      </c>
      <c r="W407" s="115">
        <v>2015.5993820000001</v>
      </c>
      <c r="X407" s="115">
        <f t="shared" si="74"/>
        <v>6822803.9080700008</v>
      </c>
      <c r="Y407" s="259" t="s">
        <v>5095</v>
      </c>
      <c r="Z407" t="s">
        <v>25</v>
      </c>
      <c r="AA407" t="s">
        <v>25</v>
      </c>
      <c r="AI407" s="20">
        <v>112</v>
      </c>
      <c r="AJ407" s="20" t="s">
        <v>975</v>
      </c>
      <c r="AK407" s="115">
        <v>4300000</v>
      </c>
      <c r="AL407" s="20">
        <v>1</v>
      </c>
      <c r="AM407" s="20">
        <f t="shared" si="75"/>
        <v>541</v>
      </c>
      <c r="AN407" s="20">
        <f t="shared" si="76"/>
        <v>2326300000</v>
      </c>
      <c r="AO407" s="20"/>
    </row>
    <row r="408" spans="18:46">
      <c r="R408" s="97" t="s">
        <v>5424</v>
      </c>
      <c r="S408" s="93">
        <v>121018</v>
      </c>
      <c r="U408" s="19" t="s">
        <v>5683</v>
      </c>
      <c r="V408" s="19">
        <v>158</v>
      </c>
      <c r="W408" s="115">
        <v>2094.2388179999998</v>
      </c>
      <c r="X408" s="115">
        <f t="shared" si="74"/>
        <v>330889.73324399994</v>
      </c>
      <c r="Y408" s="259" t="s">
        <v>5095</v>
      </c>
      <c r="Z408" t="s">
        <v>25</v>
      </c>
      <c r="AI408" s="20">
        <v>113</v>
      </c>
      <c r="AJ408" s="20" t="s">
        <v>4993</v>
      </c>
      <c r="AK408" s="115">
        <v>1600000</v>
      </c>
      <c r="AL408" s="20">
        <v>0</v>
      </c>
      <c r="AM408" s="20">
        <f t="shared" si="75"/>
        <v>540</v>
      </c>
      <c r="AN408" s="20">
        <f t="shared" si="76"/>
        <v>864000000</v>
      </c>
      <c r="AO408" s="20"/>
    </row>
    <row r="409" spans="18:46">
      <c r="R409" s="97" t="s">
        <v>5436</v>
      </c>
      <c r="S409" s="93">
        <v>1024993</v>
      </c>
      <c r="U409" s="19" t="s">
        <v>963</v>
      </c>
      <c r="V409" s="19">
        <v>5033</v>
      </c>
      <c r="W409" s="115">
        <v>2229.4976999999999</v>
      </c>
      <c r="X409" s="115">
        <f t="shared" si="74"/>
        <v>11221061.924099999</v>
      </c>
      <c r="Y409" s="259" t="s">
        <v>5688</v>
      </c>
      <c r="AA409" t="s">
        <v>25</v>
      </c>
      <c r="AI409" s="20">
        <v>114</v>
      </c>
      <c r="AJ409" s="20" t="s">
        <v>4253</v>
      </c>
      <c r="AK409" s="115">
        <v>-10000000</v>
      </c>
      <c r="AL409" s="20">
        <v>1</v>
      </c>
      <c r="AM409" s="20">
        <f t="shared" si="75"/>
        <v>540</v>
      </c>
      <c r="AN409" s="20">
        <f t="shared" si="76"/>
        <v>-5400000000</v>
      </c>
      <c r="AO409" s="20" t="s">
        <v>5123</v>
      </c>
    </row>
    <row r="410" spans="18:46">
      <c r="R410" s="97" t="s">
        <v>5437</v>
      </c>
      <c r="S410" s="93">
        <v>1948077</v>
      </c>
      <c r="T410" t="s">
        <v>25</v>
      </c>
      <c r="U410" s="19" t="s">
        <v>5692</v>
      </c>
      <c r="V410" s="19">
        <v>2870</v>
      </c>
      <c r="W410" s="115">
        <v>2303.2467459999998</v>
      </c>
      <c r="X410" s="115">
        <f t="shared" si="74"/>
        <v>6610318.1610199995</v>
      </c>
      <c r="Y410" s="259" t="s">
        <v>5095</v>
      </c>
      <c r="AI410" s="20">
        <v>115</v>
      </c>
      <c r="AJ410" s="20" t="s">
        <v>5122</v>
      </c>
      <c r="AK410" s="115">
        <v>571000</v>
      </c>
      <c r="AL410" s="20">
        <v>4</v>
      </c>
      <c r="AM410" s="20">
        <f t="shared" si="75"/>
        <v>539</v>
      </c>
      <c r="AN410" s="20">
        <f t="shared" si="76"/>
        <v>307769000</v>
      </c>
      <c r="AO410" s="20"/>
    </row>
    <row r="411" spans="18:46">
      <c r="R411" s="97" t="s">
        <v>5438</v>
      </c>
      <c r="S411" s="93">
        <v>50000120</v>
      </c>
      <c r="U411" s="19" t="s">
        <v>5693</v>
      </c>
      <c r="V411" s="19">
        <v>307</v>
      </c>
      <c r="W411" s="115">
        <v>2315.0266360000001</v>
      </c>
      <c r="X411" s="115">
        <f t="shared" si="74"/>
        <v>710713.17725199996</v>
      </c>
      <c r="Y411" s="259" t="s">
        <v>5095</v>
      </c>
      <c r="AI411" s="20">
        <v>116</v>
      </c>
      <c r="AJ411" s="20" t="s">
        <v>5124</v>
      </c>
      <c r="AK411" s="115">
        <v>200000</v>
      </c>
      <c r="AL411" s="20">
        <v>3</v>
      </c>
      <c r="AM411" s="20">
        <f t="shared" ref="AM411:AM422" si="77">AL411+AM412</f>
        <v>535</v>
      </c>
      <c r="AN411" s="20">
        <f t="shared" ref="AN411:AN422" si="78">AK411*AM411</f>
        <v>107000000</v>
      </c>
      <c r="AO411" s="20"/>
    </row>
    <row r="412" spans="18:46">
      <c r="R412" s="97" t="s">
        <v>5461</v>
      </c>
      <c r="S412" s="93">
        <v>20000055</v>
      </c>
      <c r="U412" s="19" t="s">
        <v>5695</v>
      </c>
      <c r="V412" s="19">
        <v>35</v>
      </c>
      <c r="W412" s="115">
        <v>2315</v>
      </c>
      <c r="X412" s="115">
        <f t="shared" si="74"/>
        <v>81025</v>
      </c>
      <c r="Y412" s="259" t="s">
        <v>5697</v>
      </c>
      <c r="Z412" s="112"/>
      <c r="AI412" s="147">
        <v>117</v>
      </c>
      <c r="AJ412" s="147" t="s">
        <v>5130</v>
      </c>
      <c r="AK412" s="186">
        <v>50000</v>
      </c>
      <c r="AL412" s="147">
        <v>7</v>
      </c>
      <c r="AM412" s="147">
        <f t="shared" si="77"/>
        <v>532</v>
      </c>
      <c r="AN412" s="147">
        <f t="shared" si="78"/>
        <v>26600000</v>
      </c>
      <c r="AO412" s="147"/>
    </row>
    <row r="413" spans="18:46">
      <c r="R413" s="97" t="s">
        <v>5462</v>
      </c>
      <c r="S413" s="93">
        <v>5745697</v>
      </c>
      <c r="U413" s="19" t="s">
        <v>5698</v>
      </c>
      <c r="V413" s="19">
        <v>94</v>
      </c>
      <c r="W413" s="115">
        <v>2337.1980119999998</v>
      </c>
      <c r="X413" s="115">
        <f t="shared" si="74"/>
        <v>219696.613128</v>
      </c>
      <c r="Y413" s="259" t="s">
        <v>5095</v>
      </c>
      <c r="Z413" t="s">
        <v>25</v>
      </c>
      <c r="AA413" t="s">
        <v>25</v>
      </c>
      <c r="AI413" s="20">
        <v>118</v>
      </c>
      <c r="AJ413" s="20" t="s">
        <v>5138</v>
      </c>
      <c r="AK413" s="115">
        <v>-500000</v>
      </c>
      <c r="AL413" s="20">
        <v>12</v>
      </c>
      <c r="AM413" s="20">
        <f t="shared" si="77"/>
        <v>525</v>
      </c>
      <c r="AN413" s="20">
        <f t="shared" si="78"/>
        <v>-262500000</v>
      </c>
      <c r="AO413" s="20"/>
      <c r="AS413" t="s">
        <v>25</v>
      </c>
    </row>
    <row r="414" spans="18:46">
      <c r="R414" s="97" t="s">
        <v>5463</v>
      </c>
      <c r="S414" s="93">
        <v>908158</v>
      </c>
      <c r="U414" s="19" t="s">
        <v>5699</v>
      </c>
      <c r="V414" s="19">
        <v>2534</v>
      </c>
      <c r="W414" s="115">
        <v>2381.7965300000001</v>
      </c>
      <c r="X414" s="115">
        <f t="shared" si="74"/>
        <v>6035472.4070199998</v>
      </c>
      <c r="Y414" s="259" t="s">
        <v>5095</v>
      </c>
      <c r="AI414" s="147">
        <v>119</v>
      </c>
      <c r="AJ414" s="147" t="s">
        <v>974</v>
      </c>
      <c r="AK414" s="186">
        <v>-50000</v>
      </c>
      <c r="AL414" s="147">
        <v>0</v>
      </c>
      <c r="AM414" s="147">
        <f t="shared" si="77"/>
        <v>513</v>
      </c>
      <c r="AN414" s="147">
        <f t="shared" si="78"/>
        <v>-25650000</v>
      </c>
      <c r="AO414" s="147"/>
    </row>
    <row r="415" spans="18:46">
      <c r="R415" s="97" t="s">
        <v>5464</v>
      </c>
      <c r="S415" s="93">
        <v>12642697</v>
      </c>
      <c r="U415" s="19" t="s">
        <v>5700</v>
      </c>
      <c r="V415" s="19">
        <v>424</v>
      </c>
      <c r="W415" s="115">
        <v>2321.9017680000002</v>
      </c>
      <c r="X415" s="115">
        <f t="shared" si="74"/>
        <v>984486.34963200008</v>
      </c>
      <c r="Y415" s="259" t="s">
        <v>5095</v>
      </c>
      <c r="AA415" t="s">
        <v>25</v>
      </c>
      <c r="AI415" s="20">
        <v>120</v>
      </c>
      <c r="AJ415" s="20" t="s">
        <v>974</v>
      </c>
      <c r="AK415" s="115">
        <v>-50000</v>
      </c>
      <c r="AL415" s="20">
        <v>28</v>
      </c>
      <c r="AM415" s="20">
        <f t="shared" si="77"/>
        <v>513</v>
      </c>
      <c r="AN415" s="20">
        <f t="shared" si="78"/>
        <v>-25650000</v>
      </c>
      <c r="AO415" s="20"/>
      <c r="AT415" t="s">
        <v>25</v>
      </c>
    </row>
    <row r="416" spans="18:46">
      <c r="R416" s="97" t="s">
        <v>5465</v>
      </c>
      <c r="S416" s="93">
        <v>12297317.81435</v>
      </c>
      <c r="U416" s="187" t="s">
        <v>5701</v>
      </c>
      <c r="V416" s="187">
        <v>-32</v>
      </c>
      <c r="W416" s="186">
        <v>2221.2123710000001</v>
      </c>
      <c r="X416" s="186">
        <f t="shared" si="74"/>
        <v>-71078.795872000002</v>
      </c>
      <c r="Y416" s="258" t="s">
        <v>5704</v>
      </c>
      <c r="AI416" s="20">
        <v>121</v>
      </c>
      <c r="AJ416" s="20" t="s">
        <v>5179</v>
      </c>
      <c r="AK416" s="115">
        <v>-3020625</v>
      </c>
      <c r="AL416" s="20">
        <v>18</v>
      </c>
      <c r="AM416" s="20">
        <f t="shared" si="77"/>
        <v>485</v>
      </c>
      <c r="AN416" s="20">
        <f t="shared" si="78"/>
        <v>-1465003125</v>
      </c>
      <c r="AO416" s="20"/>
    </row>
    <row r="417" spans="18:46">
      <c r="R417" s="97" t="s">
        <v>5466</v>
      </c>
      <c r="S417" s="93">
        <v>8959643.8508579992</v>
      </c>
      <c r="U417" s="19" t="s">
        <v>5701</v>
      </c>
      <c r="V417" s="19">
        <v>157</v>
      </c>
      <c r="W417" s="115">
        <v>2221.2123710000001</v>
      </c>
      <c r="X417" s="115">
        <f t="shared" si="74"/>
        <v>348730.34224700002</v>
      </c>
      <c r="Y417" s="259" t="s">
        <v>5705</v>
      </c>
      <c r="AI417" s="20">
        <v>122</v>
      </c>
      <c r="AJ417" s="20" t="s">
        <v>5190</v>
      </c>
      <c r="AK417" s="115">
        <v>18000000</v>
      </c>
      <c r="AL417" s="20">
        <v>19</v>
      </c>
      <c r="AM417" s="20">
        <f t="shared" si="77"/>
        <v>467</v>
      </c>
      <c r="AN417" s="20">
        <f t="shared" si="78"/>
        <v>8406000000</v>
      </c>
      <c r="AO417" s="20"/>
      <c r="AS417" t="s">
        <v>25</v>
      </c>
      <c r="AT417" t="s">
        <v>25</v>
      </c>
    </row>
    <row r="418" spans="18:46">
      <c r="R418" s="97" t="s">
        <v>5481</v>
      </c>
      <c r="S418" s="93">
        <v>15154095.839328</v>
      </c>
      <c r="U418" s="19" t="s">
        <v>5701</v>
      </c>
      <c r="V418" s="19">
        <v>965</v>
      </c>
      <c r="W418" s="115">
        <v>2221.2123710000001</v>
      </c>
      <c r="X418" s="115">
        <f t="shared" si="74"/>
        <v>2143469.938015</v>
      </c>
      <c r="Y418" s="259" t="s">
        <v>5095</v>
      </c>
      <c r="AI418" s="20">
        <v>123</v>
      </c>
      <c r="AJ418" s="20" t="s">
        <v>5217</v>
      </c>
      <c r="AK418" s="115">
        <v>2000000</v>
      </c>
      <c r="AL418" s="20">
        <v>6</v>
      </c>
      <c r="AM418" s="20">
        <f t="shared" si="77"/>
        <v>448</v>
      </c>
      <c r="AN418" s="20">
        <f t="shared" si="78"/>
        <v>896000000</v>
      </c>
      <c r="AO418" s="20"/>
    </row>
    <row r="419" spans="18:46">
      <c r="R419" s="97" t="s">
        <v>5482</v>
      </c>
      <c r="S419" s="93">
        <v>50725508.571864001</v>
      </c>
      <c r="T419" t="s">
        <v>25</v>
      </c>
      <c r="U419" s="187" t="s">
        <v>5707</v>
      </c>
      <c r="V419" s="187">
        <v>596</v>
      </c>
      <c r="W419" s="186">
        <v>2180.6765719999999</v>
      </c>
      <c r="X419" s="186">
        <f t="shared" si="74"/>
        <v>1299683.236912</v>
      </c>
      <c r="Y419" s="258" t="s">
        <v>1069</v>
      </c>
      <c r="Z419" t="s">
        <v>25</v>
      </c>
      <c r="AI419" s="147">
        <v>124</v>
      </c>
      <c r="AJ419" s="147" t="s">
        <v>5226</v>
      </c>
      <c r="AK419" s="186">
        <v>40000000</v>
      </c>
      <c r="AL419" s="147">
        <v>6</v>
      </c>
      <c r="AM419" s="147">
        <f t="shared" si="77"/>
        <v>442</v>
      </c>
      <c r="AN419" s="147">
        <f t="shared" si="78"/>
        <v>17680000000</v>
      </c>
      <c r="AO419" s="147"/>
    </row>
    <row r="420" spans="18:46">
      <c r="R420" s="97" t="s">
        <v>5489</v>
      </c>
      <c r="S420" s="93">
        <v>2281961.458596</v>
      </c>
      <c r="U420" s="19" t="s">
        <v>5711</v>
      </c>
      <c r="V420" s="19">
        <v>1355</v>
      </c>
      <c r="W420" s="115">
        <v>2277.0926330000002</v>
      </c>
      <c r="X420" s="115">
        <f t="shared" si="74"/>
        <v>3085460.5177150001</v>
      </c>
      <c r="Y420" s="259" t="s">
        <v>5095</v>
      </c>
      <c r="AI420" s="20">
        <v>125</v>
      </c>
      <c r="AJ420" s="20" t="s">
        <v>5235</v>
      </c>
      <c r="AK420" s="115">
        <v>200000</v>
      </c>
      <c r="AL420" s="20">
        <v>0</v>
      </c>
      <c r="AM420" s="20">
        <f t="shared" si="77"/>
        <v>436</v>
      </c>
      <c r="AN420" s="20">
        <f t="shared" si="78"/>
        <v>87200000</v>
      </c>
      <c r="AO420" s="20"/>
      <c r="AS420" t="s">
        <v>25</v>
      </c>
    </row>
    <row r="421" spans="18:46">
      <c r="R421" s="97" t="s">
        <v>5490</v>
      </c>
      <c r="S421" s="93">
        <v>10998285</v>
      </c>
      <c r="U421" s="19" t="s">
        <v>5712</v>
      </c>
      <c r="V421" s="19">
        <v>3742</v>
      </c>
      <c r="W421" s="115">
        <v>2207.7650429999999</v>
      </c>
      <c r="X421" s="115">
        <f t="shared" si="74"/>
        <v>8261456.790906</v>
      </c>
      <c r="Y421" s="259" t="s">
        <v>5095</v>
      </c>
      <c r="Z421" t="s">
        <v>25</v>
      </c>
      <c r="AI421" s="147">
        <v>126</v>
      </c>
      <c r="AJ421" s="147" t="s">
        <v>5235</v>
      </c>
      <c r="AK421" s="186">
        <v>200000</v>
      </c>
      <c r="AL421" s="147">
        <v>1</v>
      </c>
      <c r="AM421" s="147">
        <f t="shared" si="77"/>
        <v>436</v>
      </c>
      <c r="AN421" s="147">
        <f t="shared" si="78"/>
        <v>87200000</v>
      </c>
      <c r="AO421" s="147"/>
    </row>
    <row r="422" spans="18:46">
      <c r="R422" s="97" t="s">
        <v>5492</v>
      </c>
      <c r="S422" s="93">
        <v>983018.96187300002</v>
      </c>
      <c r="U422" s="19" t="s">
        <v>5713</v>
      </c>
      <c r="V422" s="19">
        <v>3216</v>
      </c>
      <c r="W422" s="115">
        <v>2043.648557</v>
      </c>
      <c r="X422" s="115">
        <f t="shared" si="74"/>
        <v>6572373.7593120001</v>
      </c>
      <c r="Y422" s="259" t="s">
        <v>5095</v>
      </c>
      <c r="AI422" s="20">
        <v>127</v>
      </c>
      <c r="AJ422" s="20" t="s">
        <v>5238</v>
      </c>
      <c r="AK422" s="115">
        <v>50000</v>
      </c>
      <c r="AL422" s="20">
        <v>4</v>
      </c>
      <c r="AM422" s="20">
        <f t="shared" si="77"/>
        <v>435</v>
      </c>
      <c r="AN422" s="20">
        <f t="shared" si="78"/>
        <v>21750000</v>
      </c>
      <c r="AO422" s="20"/>
    </row>
    <row r="423" spans="18:46">
      <c r="R423" s="97" t="s">
        <v>5495</v>
      </c>
      <c r="S423" s="93">
        <v>17049271.032000002</v>
      </c>
      <c r="U423" s="187" t="s">
        <v>5715</v>
      </c>
      <c r="V423" s="187">
        <v>42393</v>
      </c>
      <c r="W423" s="186">
        <v>2124.4852740000001</v>
      </c>
      <c r="X423" s="186">
        <f t="shared" si="74"/>
        <v>90063304.22068201</v>
      </c>
      <c r="Y423" s="258" t="s">
        <v>5716</v>
      </c>
      <c r="Z423" t="s">
        <v>25</v>
      </c>
      <c r="AI423" s="20">
        <v>128</v>
      </c>
      <c r="AJ423" s="20" t="s">
        <v>5240</v>
      </c>
      <c r="AK423" s="115">
        <v>100000</v>
      </c>
      <c r="AL423" s="20">
        <v>9</v>
      </c>
      <c r="AM423" s="20">
        <f t="shared" ref="AM423:AM433" si="79">AL423+AM424</f>
        <v>431</v>
      </c>
      <c r="AN423" s="20">
        <f t="shared" ref="AN423:AN433" si="80">AK423*AM423</f>
        <v>43100000</v>
      </c>
      <c r="AO423" s="20"/>
    </row>
    <row r="424" spans="18:46">
      <c r="R424" s="97" t="s">
        <v>4209</v>
      </c>
      <c r="S424" s="93">
        <v>6829998</v>
      </c>
      <c r="T424" t="s">
        <v>25</v>
      </c>
      <c r="U424" s="19" t="s">
        <v>5717</v>
      </c>
      <c r="V424" s="19">
        <v>1307</v>
      </c>
      <c r="W424" s="115">
        <v>2213.652313</v>
      </c>
      <c r="X424" s="115">
        <f t="shared" si="74"/>
        <v>2893243.5730909999</v>
      </c>
      <c r="Y424" s="259" t="s">
        <v>5095</v>
      </c>
      <c r="AI424" s="20">
        <v>129</v>
      </c>
      <c r="AJ424" s="20" t="s">
        <v>5256</v>
      </c>
      <c r="AK424" s="115">
        <v>-550000</v>
      </c>
      <c r="AL424" s="20">
        <v>5</v>
      </c>
      <c r="AM424" s="20">
        <f t="shared" si="79"/>
        <v>422</v>
      </c>
      <c r="AN424" s="20">
        <f t="shared" si="80"/>
        <v>-232100000</v>
      </c>
      <c r="AO424" s="20"/>
    </row>
    <row r="425" spans="18:46">
      <c r="R425" s="97" t="s">
        <v>5515</v>
      </c>
      <c r="S425" s="93">
        <v>6982608.8207999999</v>
      </c>
      <c r="U425" s="19" t="s">
        <v>5718</v>
      </c>
      <c r="V425" s="19">
        <v>44079</v>
      </c>
      <c r="W425" s="115">
        <v>2155.0411519999998</v>
      </c>
      <c r="X425" s="115">
        <f t="shared" si="74"/>
        <v>94992058.939007998</v>
      </c>
      <c r="Y425" s="259" t="s">
        <v>5095</v>
      </c>
      <c r="Z425" t="s">
        <v>25</v>
      </c>
      <c r="AA425" t="s">
        <v>25</v>
      </c>
      <c r="AI425" s="20">
        <v>130</v>
      </c>
      <c r="AJ425" s="20" t="s">
        <v>5261</v>
      </c>
      <c r="AK425" s="115">
        <v>-29686490</v>
      </c>
      <c r="AL425" s="20">
        <v>1</v>
      </c>
      <c r="AM425" s="20">
        <f t="shared" si="79"/>
        <v>417</v>
      </c>
      <c r="AN425" s="20">
        <f t="shared" si="80"/>
        <v>-12379266330</v>
      </c>
      <c r="AO425" s="20"/>
    </row>
    <row r="426" spans="18:46">
      <c r="R426" s="97" t="s">
        <v>5521</v>
      </c>
      <c r="S426" s="93">
        <v>7510131.0216000006</v>
      </c>
      <c r="U426" s="19" t="s">
        <v>5723</v>
      </c>
      <c r="V426" s="19">
        <v>131</v>
      </c>
      <c r="W426" s="115">
        <v>2099.4040150000001</v>
      </c>
      <c r="X426" s="115">
        <f t="shared" si="74"/>
        <v>275021.925965</v>
      </c>
      <c r="Y426" s="259" t="s">
        <v>5095</v>
      </c>
      <c r="Z426" t="s">
        <v>25</v>
      </c>
      <c r="AI426" s="20">
        <v>131</v>
      </c>
      <c r="AJ426" s="20" t="s">
        <v>5269</v>
      </c>
      <c r="AK426" s="115">
        <v>-9000000</v>
      </c>
      <c r="AL426" s="20">
        <v>8</v>
      </c>
      <c r="AM426" s="20">
        <f t="shared" si="79"/>
        <v>416</v>
      </c>
      <c r="AN426" s="20">
        <f t="shared" si="80"/>
        <v>-3744000000</v>
      </c>
      <c r="AO426" s="20"/>
    </row>
    <row r="427" spans="18:46">
      <c r="R427" s="97" t="s">
        <v>5530</v>
      </c>
      <c r="S427" s="93">
        <v>7278025.5327000003</v>
      </c>
      <c r="U427" s="19" t="s">
        <v>5728</v>
      </c>
      <c r="V427" s="19">
        <v>162</v>
      </c>
      <c r="W427" s="115">
        <v>2021.3081500000001</v>
      </c>
      <c r="X427" s="115">
        <f t="shared" si="74"/>
        <v>327451.9203</v>
      </c>
      <c r="Y427" s="259" t="s">
        <v>5095</v>
      </c>
      <c r="AA427" t="s">
        <v>25</v>
      </c>
      <c r="AI427" s="20">
        <v>132</v>
      </c>
      <c r="AJ427" s="20" t="s">
        <v>5312</v>
      </c>
      <c r="AK427" s="115">
        <v>810000</v>
      </c>
      <c r="AL427" s="20">
        <v>2</v>
      </c>
      <c r="AM427" s="20">
        <f t="shared" si="79"/>
        <v>408</v>
      </c>
      <c r="AN427" s="20">
        <f t="shared" si="80"/>
        <v>330480000</v>
      </c>
      <c r="AO427" s="20"/>
    </row>
    <row r="428" spans="18:46">
      <c r="R428" s="97" t="s">
        <v>5535</v>
      </c>
      <c r="S428" s="93">
        <v>195059.35799999998</v>
      </c>
      <c r="U428" s="19" t="s">
        <v>5738</v>
      </c>
      <c r="V428" s="19">
        <v>131</v>
      </c>
      <c r="W428" s="115">
        <v>1985.358328</v>
      </c>
      <c r="X428" s="115">
        <f t="shared" si="74"/>
        <v>260081.94096800001</v>
      </c>
      <c r="Y428" s="259" t="s">
        <v>5095</v>
      </c>
      <c r="AA428" t="s">
        <v>25</v>
      </c>
      <c r="AI428" s="20">
        <v>133</v>
      </c>
      <c r="AJ428" s="20" t="s">
        <v>5317</v>
      </c>
      <c r="AK428" s="115">
        <v>-5000000</v>
      </c>
      <c r="AL428" s="20">
        <v>3</v>
      </c>
      <c r="AM428" s="20">
        <f t="shared" si="79"/>
        <v>406</v>
      </c>
      <c r="AN428" s="20">
        <f t="shared" si="80"/>
        <v>-2030000000</v>
      </c>
      <c r="AO428" s="20"/>
    </row>
    <row r="429" spans="18:46">
      <c r="R429" s="97" t="s">
        <v>5537</v>
      </c>
      <c r="S429" s="93">
        <v>862577.83200000005</v>
      </c>
      <c r="U429" s="19" t="s">
        <v>5746</v>
      </c>
      <c r="V429" s="19">
        <v>1449</v>
      </c>
      <c r="W429" s="115">
        <v>2007.787806</v>
      </c>
      <c r="X429" s="115">
        <f t="shared" si="74"/>
        <v>2909284.5308940001</v>
      </c>
      <c r="Y429" s="259" t="s">
        <v>5095</v>
      </c>
      <c r="AA429" t="s">
        <v>25</v>
      </c>
      <c r="AI429" s="20">
        <v>134</v>
      </c>
      <c r="AJ429" s="20" t="s">
        <v>5321</v>
      </c>
      <c r="AK429" s="115">
        <v>-26000000</v>
      </c>
      <c r="AL429" s="20">
        <v>0</v>
      </c>
      <c r="AM429" s="20">
        <f t="shared" si="79"/>
        <v>403</v>
      </c>
      <c r="AN429" s="20">
        <f t="shared" si="80"/>
        <v>-10478000000</v>
      </c>
      <c r="AO429" s="20"/>
    </row>
    <row r="430" spans="18:46">
      <c r="R430" s="97" t="s">
        <v>5538</v>
      </c>
      <c r="S430" s="93">
        <v>920308.446</v>
      </c>
      <c r="U430" s="19" t="s">
        <v>5747</v>
      </c>
      <c r="V430" s="19">
        <v>19028</v>
      </c>
      <c r="W430" s="115">
        <v>1982.5102529999999</v>
      </c>
      <c r="X430" s="115">
        <f t="shared" si="74"/>
        <v>37723205.094084002</v>
      </c>
      <c r="Y430" s="259" t="s">
        <v>5095</v>
      </c>
      <c r="Z430" t="s">
        <v>25</v>
      </c>
      <c r="AA430" t="s">
        <v>25</v>
      </c>
      <c r="AI430" s="239">
        <v>135</v>
      </c>
      <c r="AJ430" s="239" t="s">
        <v>5321</v>
      </c>
      <c r="AK430" s="230">
        <v>-26000000</v>
      </c>
      <c r="AL430" s="239">
        <v>1</v>
      </c>
      <c r="AM430" s="239">
        <f t="shared" si="79"/>
        <v>403</v>
      </c>
      <c r="AN430" s="239">
        <f t="shared" si="80"/>
        <v>-10478000000</v>
      </c>
      <c r="AO430" s="239"/>
    </row>
    <row r="431" spans="18:46">
      <c r="R431" s="97" t="s">
        <v>5540</v>
      </c>
      <c r="S431" s="93">
        <v>4635809.8416840006</v>
      </c>
      <c r="U431" s="19" t="s">
        <v>5748</v>
      </c>
      <c r="V431" s="19">
        <v>848</v>
      </c>
      <c r="W431" s="115">
        <v>1768.97966</v>
      </c>
      <c r="X431" s="115">
        <f t="shared" si="74"/>
        <v>1500094.75168</v>
      </c>
      <c r="Y431" s="259" t="s">
        <v>5095</v>
      </c>
      <c r="AI431" s="20">
        <v>136</v>
      </c>
      <c r="AJ431" s="20" t="s">
        <v>5325</v>
      </c>
      <c r="AK431" s="115">
        <v>-81800000</v>
      </c>
      <c r="AL431" s="20">
        <v>0</v>
      </c>
      <c r="AM431" s="20">
        <f t="shared" si="79"/>
        <v>402</v>
      </c>
      <c r="AN431" s="20">
        <f t="shared" si="80"/>
        <v>-32883600000</v>
      </c>
      <c r="AO431" s="20"/>
    </row>
    <row r="432" spans="18:46">
      <c r="R432" s="97" t="s">
        <v>5568</v>
      </c>
      <c r="S432" s="93">
        <v>288892.40000000002</v>
      </c>
      <c r="U432" s="19" t="s">
        <v>5749</v>
      </c>
      <c r="V432" s="19">
        <v>3824</v>
      </c>
      <c r="W432" s="115">
        <v>1890.8547169999999</v>
      </c>
      <c r="X432" s="115">
        <f t="shared" si="74"/>
        <v>7230628.4378079996</v>
      </c>
      <c r="Y432" s="259" t="s">
        <v>5095</v>
      </c>
      <c r="AI432" s="239">
        <v>137</v>
      </c>
      <c r="AJ432" s="239" t="s">
        <v>5325</v>
      </c>
      <c r="AK432" s="230">
        <v>-110000000</v>
      </c>
      <c r="AL432" s="239">
        <v>1</v>
      </c>
      <c r="AM432" s="239">
        <f t="shared" si="79"/>
        <v>402</v>
      </c>
      <c r="AN432" s="239">
        <f t="shared" si="80"/>
        <v>-44220000000</v>
      </c>
      <c r="AO432" s="239"/>
    </row>
    <row r="433" spans="18:46">
      <c r="R433" s="97" t="s">
        <v>5569</v>
      </c>
      <c r="S433" s="93">
        <v>58508002.009000003</v>
      </c>
      <c r="U433" s="19" t="s">
        <v>5751</v>
      </c>
      <c r="V433" s="19">
        <v>14010</v>
      </c>
      <c r="W433" s="115">
        <v>2124.7244390000001</v>
      </c>
      <c r="X433" s="115">
        <f t="shared" si="74"/>
        <v>29767389.390390001</v>
      </c>
      <c r="Y433" s="259" t="s">
        <v>5095</v>
      </c>
      <c r="AI433" s="20">
        <v>138</v>
      </c>
      <c r="AJ433" s="20" t="s">
        <v>5326</v>
      </c>
      <c r="AK433" s="115">
        <v>-34000000</v>
      </c>
      <c r="AL433" s="20">
        <v>0</v>
      </c>
      <c r="AM433" s="20">
        <f t="shared" si="79"/>
        <v>401</v>
      </c>
      <c r="AN433" s="20">
        <f t="shared" si="80"/>
        <v>-13634000000</v>
      </c>
      <c r="AO433" s="20"/>
    </row>
    <row r="434" spans="18:46">
      <c r="R434" s="97" t="s">
        <v>5571</v>
      </c>
      <c r="S434" s="93">
        <v>2245515.5410799999</v>
      </c>
      <c r="U434" s="19" t="s">
        <v>5752</v>
      </c>
      <c r="V434" s="19">
        <v>73</v>
      </c>
      <c r="W434" s="115">
        <v>2076.1678900000002</v>
      </c>
      <c r="X434" s="115">
        <f t="shared" si="74"/>
        <v>151560.25597</v>
      </c>
      <c r="Y434" s="259" t="s">
        <v>5095</v>
      </c>
      <c r="AB434" t="s">
        <v>25</v>
      </c>
      <c r="AI434" s="147">
        <v>139</v>
      </c>
      <c r="AJ434" s="147" t="s">
        <v>5326</v>
      </c>
      <c r="AK434" s="186">
        <v>-23900000</v>
      </c>
      <c r="AL434" s="147">
        <v>5</v>
      </c>
      <c r="AM434" s="147">
        <f t="shared" ref="AM434:AM439" si="81">AL434+AM435</f>
        <v>401</v>
      </c>
      <c r="AN434" s="147">
        <f t="shared" ref="AN434:AN439" si="82">AK434*AM434</f>
        <v>-9583900000</v>
      </c>
      <c r="AO434" s="147"/>
    </row>
    <row r="435" spans="18:46">
      <c r="R435" s="97" t="s">
        <v>5571</v>
      </c>
      <c r="S435" s="93">
        <v>18404699.3442</v>
      </c>
      <c r="U435" s="19" t="s">
        <v>5754</v>
      </c>
      <c r="V435" s="19">
        <v>236</v>
      </c>
      <c r="W435" s="115">
        <v>2039.4867830000001</v>
      </c>
      <c r="X435" s="115">
        <f t="shared" si="74"/>
        <v>481318.88078800001</v>
      </c>
      <c r="Y435" s="259" t="s">
        <v>5095</v>
      </c>
      <c r="AI435" s="20">
        <v>140</v>
      </c>
      <c r="AJ435" s="20" t="s">
        <v>5339</v>
      </c>
      <c r="AK435" s="115">
        <v>1000000</v>
      </c>
      <c r="AL435" s="20">
        <v>0</v>
      </c>
      <c r="AM435" s="20">
        <f t="shared" si="81"/>
        <v>396</v>
      </c>
      <c r="AN435" s="20">
        <f t="shared" si="82"/>
        <v>396000000</v>
      </c>
      <c r="AO435" s="20"/>
      <c r="AR435" t="s">
        <v>25</v>
      </c>
    </row>
    <row r="436" spans="18:46">
      <c r="R436" s="97" t="s">
        <v>5574</v>
      </c>
      <c r="S436" s="93">
        <v>48684800</v>
      </c>
      <c r="U436" s="19" t="s">
        <v>5757</v>
      </c>
      <c r="V436" s="19">
        <v>75</v>
      </c>
      <c r="W436" s="115">
        <v>1950.3675760000001</v>
      </c>
      <c r="X436" s="115">
        <f t="shared" si="74"/>
        <v>146277.56820000001</v>
      </c>
      <c r="Y436" s="259" t="s">
        <v>5095</v>
      </c>
      <c r="AI436" s="147">
        <v>141</v>
      </c>
      <c r="AJ436" s="147" t="s">
        <v>5339</v>
      </c>
      <c r="AK436" s="186">
        <v>1000000</v>
      </c>
      <c r="AL436" s="147">
        <v>4</v>
      </c>
      <c r="AM436" s="147">
        <f t="shared" si="81"/>
        <v>396</v>
      </c>
      <c r="AN436" s="147">
        <f t="shared" si="82"/>
        <v>396000000</v>
      </c>
      <c r="AO436" s="147"/>
    </row>
    <row r="437" spans="18:46">
      <c r="R437" s="97" t="s">
        <v>5576</v>
      </c>
      <c r="S437" s="93">
        <v>2264658.5922190002</v>
      </c>
      <c r="U437" s="19" t="s">
        <v>5769</v>
      </c>
      <c r="V437" s="19">
        <v>232</v>
      </c>
      <c r="W437" s="115">
        <v>1830.5750069999999</v>
      </c>
      <c r="X437" s="115">
        <f t="shared" si="74"/>
        <v>424693.40162399999</v>
      </c>
      <c r="Y437" s="259" t="s">
        <v>5095</v>
      </c>
      <c r="Z437" t="s">
        <v>25</v>
      </c>
      <c r="AI437" s="20">
        <v>142</v>
      </c>
      <c r="AJ437" s="20" t="s">
        <v>5345</v>
      </c>
      <c r="AK437" s="115">
        <v>400000</v>
      </c>
      <c r="AL437" s="20">
        <v>0</v>
      </c>
      <c r="AM437" s="20">
        <f t="shared" si="81"/>
        <v>392</v>
      </c>
      <c r="AN437" s="20">
        <f t="shared" si="82"/>
        <v>156800000</v>
      </c>
      <c r="AO437" s="20"/>
    </row>
    <row r="438" spans="18:46">
      <c r="R438" s="97" t="s">
        <v>5579</v>
      </c>
      <c r="S438" s="93">
        <v>22877413.789960001</v>
      </c>
      <c r="U438" s="19" t="s">
        <v>5772</v>
      </c>
      <c r="V438" s="19">
        <v>308</v>
      </c>
      <c r="W438" s="115">
        <v>1812.728578</v>
      </c>
      <c r="X438" s="115">
        <f t="shared" si="74"/>
        <v>558320.40202399995</v>
      </c>
      <c r="Y438" s="259" t="s">
        <v>5095</v>
      </c>
      <c r="Z438" t="s">
        <v>25</v>
      </c>
      <c r="AI438" s="147">
        <v>143</v>
      </c>
      <c r="AJ438" s="147" t="s">
        <v>5345</v>
      </c>
      <c r="AK438" s="186">
        <v>400000</v>
      </c>
      <c r="AL438" s="147">
        <v>35</v>
      </c>
      <c r="AM438" s="147">
        <f t="shared" si="81"/>
        <v>392</v>
      </c>
      <c r="AN438" s="147">
        <f t="shared" si="82"/>
        <v>156800000</v>
      </c>
      <c r="AO438" s="147"/>
    </row>
    <row r="439" spans="18:46">
      <c r="R439" s="97" t="s">
        <v>5580</v>
      </c>
      <c r="S439" s="93">
        <v>2362539.4373280001</v>
      </c>
      <c r="U439" s="19" t="s">
        <v>5774</v>
      </c>
      <c r="V439" s="19">
        <v>106</v>
      </c>
      <c r="W439" s="115">
        <v>1958.8888869</v>
      </c>
      <c r="X439" s="115">
        <f t="shared" si="74"/>
        <v>207642.22201140001</v>
      </c>
      <c r="Y439" s="259" t="s">
        <v>5095</v>
      </c>
      <c r="AI439" s="20">
        <v>144</v>
      </c>
      <c r="AJ439" s="20" t="s">
        <v>5379</v>
      </c>
      <c r="AK439" s="115">
        <v>3000000</v>
      </c>
      <c r="AL439" s="20">
        <v>0</v>
      </c>
      <c r="AM439" s="20">
        <f t="shared" si="81"/>
        <v>357</v>
      </c>
      <c r="AN439" s="20">
        <f t="shared" si="82"/>
        <v>1071000000</v>
      </c>
      <c r="AO439" s="20"/>
      <c r="AT439" t="s">
        <v>25</v>
      </c>
    </row>
    <row r="440" spans="18:46">
      <c r="R440" s="97" t="s">
        <v>5581</v>
      </c>
      <c r="S440" s="93">
        <v>16042676.656608</v>
      </c>
      <c r="U440" s="19" t="s">
        <v>5796</v>
      </c>
      <c r="V440" s="19">
        <v>17050</v>
      </c>
      <c r="W440" s="115">
        <v>1984.311475</v>
      </c>
      <c r="X440" s="115">
        <f t="shared" si="74"/>
        <v>33832510.64875</v>
      </c>
      <c r="Y440" s="259" t="s">
        <v>5798</v>
      </c>
      <c r="Z440" t="s">
        <v>25</v>
      </c>
      <c r="AB440" t="s">
        <v>25</v>
      </c>
      <c r="AI440" s="147">
        <v>145</v>
      </c>
      <c r="AJ440" s="147" t="s">
        <v>5379</v>
      </c>
      <c r="AK440" s="186">
        <v>2725000</v>
      </c>
      <c r="AL440" s="147">
        <v>19</v>
      </c>
      <c r="AM440" s="147">
        <f t="shared" ref="AM440:AM450" si="83">AL440+AM441</f>
        <v>357</v>
      </c>
      <c r="AN440" s="147">
        <f t="shared" ref="AN440:AN450" si="84">AK440*AM440</f>
        <v>972825000</v>
      </c>
      <c r="AO440" s="147"/>
    </row>
    <row r="441" spans="18:46">
      <c r="R441" s="97" t="s">
        <v>5584</v>
      </c>
      <c r="S441" s="93">
        <v>18403291.448284</v>
      </c>
      <c r="U441" s="19" t="s">
        <v>5796</v>
      </c>
      <c r="V441" s="19">
        <v>17050</v>
      </c>
      <c r="W441" s="115">
        <v>1984.311475</v>
      </c>
      <c r="X441" s="115">
        <f t="shared" si="74"/>
        <v>33832510.64875</v>
      </c>
      <c r="Y441" s="259" t="s">
        <v>5799</v>
      </c>
      <c r="Z441" t="s">
        <v>25</v>
      </c>
      <c r="AI441" s="147">
        <v>146</v>
      </c>
      <c r="AJ441" s="147" t="s">
        <v>5278</v>
      </c>
      <c r="AK441" s="186">
        <v>-8644090</v>
      </c>
      <c r="AL441" s="147">
        <v>0</v>
      </c>
      <c r="AM441" s="147">
        <f t="shared" si="83"/>
        <v>338</v>
      </c>
      <c r="AN441" s="147">
        <f t="shared" si="84"/>
        <v>-2921702420</v>
      </c>
      <c r="AO441" s="147" t="s">
        <v>4725</v>
      </c>
    </row>
    <row r="442" spans="18:46">
      <c r="R442" s="97" t="s">
        <v>5585</v>
      </c>
      <c r="S442" s="93">
        <v>10561447.246918</v>
      </c>
      <c r="U442" s="19" t="s">
        <v>5801</v>
      </c>
      <c r="V442" s="19">
        <v>9659</v>
      </c>
      <c r="W442" s="115">
        <v>2073.8685089999999</v>
      </c>
      <c r="X442" s="115">
        <f t="shared" si="74"/>
        <v>20031495.928431001</v>
      </c>
      <c r="Y442" s="259" t="s">
        <v>5802</v>
      </c>
      <c r="Z442" t="s">
        <v>25</v>
      </c>
      <c r="AI442" s="20">
        <v>147</v>
      </c>
      <c r="AJ442" s="20" t="s">
        <v>5278</v>
      </c>
      <c r="AK442" s="115">
        <v>-65461942</v>
      </c>
      <c r="AL442" s="20">
        <v>1</v>
      </c>
      <c r="AM442" s="20">
        <f t="shared" si="83"/>
        <v>338</v>
      </c>
      <c r="AN442" s="20">
        <f t="shared" si="84"/>
        <v>-22126136396</v>
      </c>
      <c r="AO442" s="20" t="s">
        <v>4725</v>
      </c>
    </row>
    <row r="443" spans="18:46">
      <c r="R443" s="97" t="s">
        <v>5586</v>
      </c>
      <c r="S443" s="93">
        <v>1226811.9176660001</v>
      </c>
      <c r="U443" s="19" t="s">
        <v>5805</v>
      </c>
      <c r="V443" s="19">
        <v>323</v>
      </c>
      <c r="W443" s="115">
        <v>1975.162028</v>
      </c>
      <c r="X443" s="115">
        <f t="shared" si="74"/>
        <v>637977.33504399995</v>
      </c>
      <c r="Y443" s="259" t="s">
        <v>5095</v>
      </c>
      <c r="AI443" s="20">
        <v>148</v>
      </c>
      <c r="AJ443" s="20" t="s">
        <v>5401</v>
      </c>
      <c r="AK443" s="115">
        <v>35000000</v>
      </c>
      <c r="AL443" s="20">
        <v>15</v>
      </c>
      <c r="AM443" s="20">
        <f t="shared" si="83"/>
        <v>337</v>
      </c>
      <c r="AN443" s="20">
        <f t="shared" si="84"/>
        <v>11795000000</v>
      </c>
      <c r="AO443" s="20"/>
    </row>
    <row r="444" spans="18:46">
      <c r="R444" s="97" t="s">
        <v>5591</v>
      </c>
      <c r="S444" s="93">
        <v>39373959.190266006</v>
      </c>
      <c r="U444" s="19" t="s">
        <v>5806</v>
      </c>
      <c r="V444" s="19">
        <v>238</v>
      </c>
      <c r="W444" s="115">
        <v>1960.303598</v>
      </c>
      <c r="X444" s="115">
        <f t="shared" si="74"/>
        <v>466552.25632400002</v>
      </c>
      <c r="Y444" s="259" t="s">
        <v>5095</v>
      </c>
      <c r="AA444" t="s">
        <v>25</v>
      </c>
      <c r="AI444" s="147">
        <v>149</v>
      </c>
      <c r="AJ444" s="147" t="s">
        <v>5420</v>
      </c>
      <c r="AK444" s="186">
        <v>1400000</v>
      </c>
      <c r="AL444" s="147">
        <v>0</v>
      </c>
      <c r="AM444" s="147">
        <f t="shared" si="83"/>
        <v>322</v>
      </c>
      <c r="AN444" s="147">
        <f t="shared" si="84"/>
        <v>450800000</v>
      </c>
      <c r="AO444" s="147"/>
      <c r="AS444" t="s">
        <v>25</v>
      </c>
    </row>
    <row r="445" spans="18:46">
      <c r="R445" s="97" t="s">
        <v>5592</v>
      </c>
      <c r="S445" s="93">
        <v>27703487.063980002</v>
      </c>
      <c r="U445" s="19" t="s">
        <v>5807</v>
      </c>
      <c r="V445" s="19">
        <v>75</v>
      </c>
      <c r="W445" s="115">
        <v>1990.893174</v>
      </c>
      <c r="X445" s="115">
        <f t="shared" si="74"/>
        <v>149316.98805000001</v>
      </c>
      <c r="Y445" s="259" t="s">
        <v>5808</v>
      </c>
      <c r="AA445" t="s">
        <v>25</v>
      </c>
      <c r="AI445" s="20">
        <v>150</v>
      </c>
      <c r="AJ445" s="20" t="s">
        <v>5420</v>
      </c>
      <c r="AK445" s="115">
        <v>1600000</v>
      </c>
      <c r="AL445" s="20">
        <v>1</v>
      </c>
      <c r="AM445" s="20">
        <f t="shared" si="83"/>
        <v>322</v>
      </c>
      <c r="AN445" s="20">
        <f t="shared" si="84"/>
        <v>515200000</v>
      </c>
      <c r="AO445" s="20"/>
    </row>
    <row r="446" spans="18:46">
      <c r="R446" s="97" t="s">
        <v>4182</v>
      </c>
      <c r="S446" s="93">
        <v>8738896.6890719999</v>
      </c>
      <c r="U446" s="19" t="s">
        <v>5807</v>
      </c>
      <c r="V446" s="19">
        <v>95</v>
      </c>
      <c r="W446" s="115">
        <v>1990.893174</v>
      </c>
      <c r="X446" s="115">
        <f t="shared" si="74"/>
        <v>189134.85153000001</v>
      </c>
      <c r="Y446" s="259" t="s">
        <v>5095</v>
      </c>
      <c r="AA446" t="s">
        <v>25</v>
      </c>
      <c r="AI446" s="147">
        <v>151</v>
      </c>
      <c r="AJ446" s="147" t="s">
        <v>5423</v>
      </c>
      <c r="AK446" s="186">
        <v>600000</v>
      </c>
      <c r="AL446" s="147">
        <v>0</v>
      </c>
      <c r="AM446" s="147">
        <f t="shared" si="83"/>
        <v>321</v>
      </c>
      <c r="AN446" s="147">
        <f t="shared" si="84"/>
        <v>192600000</v>
      </c>
      <c r="AO446" s="147" t="s">
        <v>5425</v>
      </c>
      <c r="AR446" t="s">
        <v>25</v>
      </c>
    </row>
    <row r="447" spans="18:46">
      <c r="R447" s="97" t="s">
        <v>5594</v>
      </c>
      <c r="S447" s="93">
        <v>348201.66738</v>
      </c>
      <c r="U447" s="19" t="s">
        <v>5809</v>
      </c>
      <c r="V447" s="19">
        <v>284</v>
      </c>
      <c r="W447" s="115">
        <v>1989.045169</v>
      </c>
      <c r="X447" s="115">
        <f t="shared" si="74"/>
        <v>564888.82799599995</v>
      </c>
      <c r="Y447" s="259" t="s">
        <v>5095</v>
      </c>
      <c r="AA447" t="s">
        <v>25</v>
      </c>
      <c r="AI447" s="20">
        <v>152</v>
      </c>
      <c r="AJ447" s="20" t="s">
        <v>5423</v>
      </c>
      <c r="AK447" s="115">
        <v>600000</v>
      </c>
      <c r="AL447" s="20">
        <v>9</v>
      </c>
      <c r="AM447" s="20">
        <f t="shared" si="83"/>
        <v>321</v>
      </c>
      <c r="AN447" s="20">
        <f t="shared" si="84"/>
        <v>192600000</v>
      </c>
      <c r="AO447" s="20" t="s">
        <v>5425</v>
      </c>
    </row>
    <row r="448" spans="18:46" ht="30">
      <c r="R448" s="97" t="s">
        <v>5598</v>
      </c>
      <c r="S448" s="93">
        <v>4158090.8935679998</v>
      </c>
      <c r="U448" s="187" t="s">
        <v>5812</v>
      </c>
      <c r="V448" s="187">
        <v>11034</v>
      </c>
      <c r="W448" s="186">
        <v>1960.6845390000001</v>
      </c>
      <c r="X448" s="186">
        <f t="shared" si="74"/>
        <v>21634193.203326002</v>
      </c>
      <c r="Y448" s="258" t="s">
        <v>5816</v>
      </c>
      <c r="AA448" t="s">
        <v>25</v>
      </c>
      <c r="AI448" s="20">
        <v>153</v>
      </c>
      <c r="AJ448" s="20" t="s">
        <v>5438</v>
      </c>
      <c r="AK448" s="115">
        <v>20000000</v>
      </c>
      <c r="AL448" s="20">
        <v>23</v>
      </c>
      <c r="AM448" s="20">
        <f t="shared" si="83"/>
        <v>312</v>
      </c>
      <c r="AN448" s="20">
        <f t="shared" si="84"/>
        <v>6240000000</v>
      </c>
      <c r="AO448" s="20" t="s">
        <v>5453</v>
      </c>
    </row>
    <row r="449" spans="18:45" ht="30">
      <c r="R449" s="97" t="s">
        <v>5595</v>
      </c>
      <c r="S449" s="93">
        <v>110770524.97879399</v>
      </c>
      <c r="U449" s="19" t="s">
        <v>5812</v>
      </c>
      <c r="V449" s="19">
        <v>4469</v>
      </c>
      <c r="W449" s="115">
        <v>1960.6845390000001</v>
      </c>
      <c r="X449" s="115">
        <f t="shared" si="74"/>
        <v>8762299.2047910001</v>
      </c>
      <c r="Y449" s="259" t="s">
        <v>5817</v>
      </c>
      <c r="AA449" t="s">
        <v>25</v>
      </c>
      <c r="AI449" s="20">
        <v>154</v>
      </c>
      <c r="AJ449" s="20" t="s">
        <v>5473</v>
      </c>
      <c r="AK449" s="115">
        <v>-46183500</v>
      </c>
      <c r="AL449" s="20">
        <v>0</v>
      </c>
      <c r="AM449" s="20">
        <f t="shared" si="83"/>
        <v>289</v>
      </c>
      <c r="AN449" s="20">
        <f t="shared" si="84"/>
        <v>-13347031500</v>
      </c>
      <c r="AO449" s="20" t="s">
        <v>4846</v>
      </c>
      <c r="AS449" t="s">
        <v>25</v>
      </c>
    </row>
    <row r="450" spans="18:45">
      <c r="R450" s="97" t="s">
        <v>5598</v>
      </c>
      <c r="S450" s="93">
        <v>17900000</v>
      </c>
      <c r="U450" s="19" t="s">
        <v>5812</v>
      </c>
      <c r="V450" s="19">
        <v>-174834</v>
      </c>
      <c r="W450" s="115">
        <v>1955.271154</v>
      </c>
      <c r="X450" s="115">
        <f t="shared" si="74"/>
        <v>-341847876.93843603</v>
      </c>
      <c r="Y450" s="259" t="s">
        <v>5818</v>
      </c>
      <c r="AI450" s="147">
        <v>155</v>
      </c>
      <c r="AJ450" s="147" t="s">
        <v>5473</v>
      </c>
      <c r="AK450" s="186">
        <v>-1812800</v>
      </c>
      <c r="AL450" s="147">
        <v>2</v>
      </c>
      <c r="AM450" s="147">
        <f t="shared" si="83"/>
        <v>289</v>
      </c>
      <c r="AN450" s="147">
        <f t="shared" si="84"/>
        <v>-523899200</v>
      </c>
      <c r="AO450" s="147" t="s">
        <v>4846</v>
      </c>
    </row>
    <row r="451" spans="18:45">
      <c r="R451" s="97" t="s">
        <v>5610</v>
      </c>
      <c r="S451" s="93">
        <v>12114824.927374</v>
      </c>
      <c r="U451" s="19" t="s">
        <v>5812</v>
      </c>
      <c r="V451" s="19">
        <v>-78942</v>
      </c>
      <c r="W451" s="115">
        <v>1955.271154</v>
      </c>
      <c r="X451" s="115">
        <f t="shared" si="74"/>
        <v>-154353015.43906799</v>
      </c>
      <c r="Y451" s="259" t="s">
        <v>5819</v>
      </c>
      <c r="AA451" t="s">
        <v>25</v>
      </c>
      <c r="AG451" s="94" t="s">
        <v>25</v>
      </c>
      <c r="AI451" s="20">
        <v>156</v>
      </c>
      <c r="AJ451" s="20" t="s">
        <v>5477</v>
      </c>
      <c r="AK451" s="115">
        <v>90000</v>
      </c>
      <c r="AL451" s="20">
        <v>0</v>
      </c>
      <c r="AM451" s="20">
        <f t="shared" ref="AM451:AM465" si="85">AL451+AM452</f>
        <v>287</v>
      </c>
      <c r="AN451" s="20">
        <f t="shared" ref="AN451:AN465" si="86">AK451*AM451</f>
        <v>25830000</v>
      </c>
      <c r="AO451" s="20"/>
    </row>
    <row r="452" spans="18:45">
      <c r="R452" s="97" t="s">
        <v>5613</v>
      </c>
      <c r="S452" s="93">
        <v>6684147.0064600008</v>
      </c>
      <c r="U452" s="187" t="s">
        <v>5812</v>
      </c>
      <c r="V452" s="187">
        <v>-11518</v>
      </c>
      <c r="W452" s="186">
        <v>1955.271154</v>
      </c>
      <c r="X452" s="186">
        <f t="shared" si="74"/>
        <v>-22520813.151772</v>
      </c>
      <c r="Y452" s="258" t="s">
        <v>5820</v>
      </c>
      <c r="AB452" t="s">
        <v>25</v>
      </c>
      <c r="AI452" s="147">
        <v>157</v>
      </c>
      <c r="AJ452" s="147" t="s">
        <v>5477</v>
      </c>
      <c r="AK452" s="186">
        <v>60000</v>
      </c>
      <c r="AL452" s="147">
        <v>5</v>
      </c>
      <c r="AM452" s="147">
        <f t="shared" si="85"/>
        <v>287</v>
      </c>
      <c r="AN452" s="147">
        <f t="shared" si="86"/>
        <v>17220000</v>
      </c>
      <c r="AO452" s="147"/>
    </row>
    <row r="453" spans="18:45">
      <c r="R453" s="97" t="s">
        <v>5617</v>
      </c>
      <c r="S453" s="93">
        <v>1826535.2307560001</v>
      </c>
      <c r="U453" s="19" t="s">
        <v>5831</v>
      </c>
      <c r="V453" s="19">
        <v>8622</v>
      </c>
      <c r="W453" s="115">
        <v>1930.4022150000001</v>
      </c>
      <c r="X453" s="115">
        <f t="shared" si="74"/>
        <v>16643927.89773</v>
      </c>
      <c r="Y453" s="259" t="s">
        <v>743</v>
      </c>
      <c r="AA453" t="s">
        <v>25</v>
      </c>
      <c r="AI453" s="20">
        <v>158</v>
      </c>
      <c r="AJ453" s="20" t="s">
        <v>5482</v>
      </c>
      <c r="AK453" s="115">
        <v>50000000</v>
      </c>
      <c r="AL453" s="20">
        <v>29</v>
      </c>
      <c r="AM453" s="20">
        <f t="shared" si="85"/>
        <v>282</v>
      </c>
      <c r="AN453" s="20">
        <f t="shared" si="86"/>
        <v>14100000000</v>
      </c>
      <c r="AO453" s="20" t="s">
        <v>5484</v>
      </c>
    </row>
    <row r="454" spans="18:45">
      <c r="R454" s="97" t="s">
        <v>5619</v>
      </c>
      <c r="S454" s="93">
        <v>3577366.94</v>
      </c>
      <c r="U454" s="19" t="s">
        <v>5832</v>
      </c>
      <c r="V454" s="19">
        <v>17384</v>
      </c>
      <c r="W454" s="115">
        <v>1918.745255</v>
      </c>
      <c r="X454" s="115">
        <f t="shared" si="74"/>
        <v>33355467.51292</v>
      </c>
      <c r="Y454" s="259" t="s">
        <v>743</v>
      </c>
      <c r="Z454" t="s">
        <v>25</v>
      </c>
      <c r="AA454" t="s">
        <v>25</v>
      </c>
      <c r="AI454" s="20">
        <v>159</v>
      </c>
      <c r="AJ454" s="20" t="s">
        <v>5540</v>
      </c>
      <c r="AK454" s="115">
        <v>100000</v>
      </c>
      <c r="AL454" s="20">
        <v>1</v>
      </c>
      <c r="AM454" s="20">
        <f t="shared" si="85"/>
        <v>253</v>
      </c>
      <c r="AN454" s="20">
        <f t="shared" si="86"/>
        <v>25300000</v>
      </c>
      <c r="AO454" s="20"/>
    </row>
    <row r="455" spans="18:45">
      <c r="R455" s="97" t="s">
        <v>5622</v>
      </c>
      <c r="S455" s="93">
        <v>21239029.173567999</v>
      </c>
      <c r="U455" s="19" t="s">
        <v>5835</v>
      </c>
      <c r="V455" s="19">
        <v>133</v>
      </c>
      <c r="W455" s="115">
        <v>1954.8389770000001</v>
      </c>
      <c r="X455" s="115">
        <f t="shared" si="74"/>
        <v>259993.58394100002</v>
      </c>
      <c r="Y455" s="259" t="s">
        <v>5095</v>
      </c>
      <c r="AB455" t="s">
        <v>25</v>
      </c>
      <c r="AI455" s="147">
        <v>160</v>
      </c>
      <c r="AJ455" s="147" t="s">
        <v>5529</v>
      </c>
      <c r="AK455" s="186">
        <v>150000</v>
      </c>
      <c r="AL455" s="147">
        <v>0</v>
      </c>
      <c r="AM455" s="147">
        <f t="shared" si="85"/>
        <v>252</v>
      </c>
      <c r="AN455" s="147">
        <f t="shared" si="86"/>
        <v>37800000</v>
      </c>
      <c r="AO455" s="147"/>
    </row>
    <row r="456" spans="18:45">
      <c r="R456" s="97" t="s">
        <v>5627</v>
      </c>
      <c r="S456" s="93">
        <v>242957252.40163299</v>
      </c>
      <c r="U456" s="19" t="s">
        <v>5836</v>
      </c>
      <c r="V456" s="19">
        <v>140</v>
      </c>
      <c r="W456" s="115">
        <v>1928.2522289999999</v>
      </c>
      <c r="X456" s="115">
        <f t="shared" si="74"/>
        <v>269955.31205999997</v>
      </c>
      <c r="Y456" s="259" t="s">
        <v>5095</v>
      </c>
      <c r="Z456" t="s">
        <v>25</v>
      </c>
      <c r="AI456" s="20">
        <v>161</v>
      </c>
      <c r="AJ456" s="20" t="s">
        <v>5529</v>
      </c>
      <c r="AK456" s="115">
        <v>-683050</v>
      </c>
      <c r="AL456" s="20">
        <v>7</v>
      </c>
      <c r="AM456" s="20">
        <f t="shared" si="85"/>
        <v>252</v>
      </c>
      <c r="AN456" s="20">
        <f t="shared" si="86"/>
        <v>-172128600</v>
      </c>
      <c r="AO456" s="20" t="s">
        <v>5543</v>
      </c>
    </row>
    <row r="457" spans="18:45">
      <c r="R457" s="97" t="s">
        <v>5628</v>
      </c>
      <c r="S457" s="93">
        <v>7357181.2750800001</v>
      </c>
      <c r="U457" s="19" t="s">
        <v>6182</v>
      </c>
      <c r="V457" s="19">
        <v>15839</v>
      </c>
      <c r="W457" s="115">
        <v>1893.9957079999999</v>
      </c>
      <c r="X457" s="115">
        <f t="shared" si="74"/>
        <v>29998998.019012</v>
      </c>
      <c r="Y457" s="259" t="s">
        <v>6181</v>
      </c>
      <c r="AA457" t="s">
        <v>25</v>
      </c>
      <c r="AB457" t="s">
        <v>25</v>
      </c>
      <c r="AI457" s="147">
        <v>162</v>
      </c>
      <c r="AJ457" s="147" t="s">
        <v>5551</v>
      </c>
      <c r="AK457" s="186">
        <v>200000</v>
      </c>
      <c r="AL457" s="147">
        <v>7</v>
      </c>
      <c r="AM457" s="147">
        <f t="shared" si="85"/>
        <v>245</v>
      </c>
      <c r="AN457" s="147">
        <f t="shared" si="86"/>
        <v>49000000</v>
      </c>
      <c r="AO457" s="147"/>
    </row>
    <row r="458" spans="18:45">
      <c r="R458" s="97" t="s">
        <v>5632</v>
      </c>
      <c r="S458" s="93">
        <v>14951411.942400001</v>
      </c>
      <c r="U458" s="19" t="s">
        <v>6185</v>
      </c>
      <c r="V458" s="19">
        <v>26601</v>
      </c>
      <c r="W458" s="115">
        <v>1880.082026</v>
      </c>
      <c r="X458" s="115">
        <f t="shared" si="74"/>
        <v>50012061.973626003</v>
      </c>
      <c r="Y458" s="259" t="s">
        <v>5333</v>
      </c>
      <c r="AI458" s="147">
        <v>163</v>
      </c>
      <c r="AJ458" s="147" t="s">
        <v>5556</v>
      </c>
      <c r="AK458" s="186">
        <v>150000</v>
      </c>
      <c r="AL458" s="147">
        <v>5</v>
      </c>
      <c r="AM458" s="147">
        <f t="shared" si="85"/>
        <v>238</v>
      </c>
      <c r="AN458" s="147">
        <f t="shared" si="86"/>
        <v>35700000</v>
      </c>
      <c r="AO458" s="147"/>
    </row>
    <row r="459" spans="18:45">
      <c r="R459" s="97" t="s">
        <v>5634</v>
      </c>
      <c r="S459" s="93">
        <v>47928209.377011999</v>
      </c>
      <c r="U459" s="187" t="s">
        <v>6185</v>
      </c>
      <c r="V459" s="187">
        <v>10637</v>
      </c>
      <c r="W459" s="186">
        <v>1880.082026</v>
      </c>
      <c r="X459" s="186">
        <f t="shared" si="74"/>
        <v>19998432.510561999</v>
      </c>
      <c r="Y459" s="258" t="s">
        <v>6186</v>
      </c>
      <c r="Z459" t="s">
        <v>25</v>
      </c>
      <c r="AI459" s="20">
        <v>164</v>
      </c>
      <c r="AJ459" s="20" t="s">
        <v>5559</v>
      </c>
      <c r="AK459" s="115">
        <v>320000</v>
      </c>
      <c r="AL459" s="20">
        <v>2</v>
      </c>
      <c r="AM459" s="20">
        <f t="shared" si="85"/>
        <v>233</v>
      </c>
      <c r="AN459" s="20">
        <f t="shared" si="86"/>
        <v>74560000</v>
      </c>
      <c r="AO459" s="20"/>
    </row>
    <row r="460" spans="18:45">
      <c r="R460" s="97" t="s">
        <v>5636</v>
      </c>
      <c r="S460" s="93">
        <v>2281595.69937</v>
      </c>
      <c r="U460" s="19" t="s">
        <v>6191</v>
      </c>
      <c r="V460" s="19">
        <v>306</v>
      </c>
      <c r="W460" s="115">
        <v>1831.8117119999999</v>
      </c>
      <c r="X460" s="115">
        <f t="shared" si="74"/>
        <v>560534.38387200003</v>
      </c>
      <c r="Y460" s="259" t="s">
        <v>5095</v>
      </c>
      <c r="Z460" t="s">
        <v>25</v>
      </c>
      <c r="AI460" s="20">
        <v>165</v>
      </c>
      <c r="AJ460" s="20" t="s">
        <v>5560</v>
      </c>
      <c r="AK460" s="115">
        <v>200000</v>
      </c>
      <c r="AL460" s="20">
        <v>29</v>
      </c>
      <c r="AM460" s="20">
        <f t="shared" si="85"/>
        <v>231</v>
      </c>
      <c r="AN460" s="20">
        <f t="shared" si="86"/>
        <v>46200000</v>
      </c>
      <c r="AO460" s="20"/>
    </row>
    <row r="461" spans="18:45">
      <c r="R461" s="97" t="s">
        <v>5637</v>
      </c>
      <c r="S461" s="93">
        <v>2964916.035069</v>
      </c>
      <c r="U461" s="19" t="s">
        <v>6193</v>
      </c>
      <c r="V461" s="19">
        <v>325</v>
      </c>
      <c r="W461" s="115">
        <v>1789.1845169999999</v>
      </c>
      <c r="X461" s="115">
        <f t="shared" si="74"/>
        <v>581484.96802499995</v>
      </c>
      <c r="Y461" s="259" t="s">
        <v>5095</v>
      </c>
      <c r="AA461" t="s">
        <v>25</v>
      </c>
      <c r="AI461" s="20">
        <v>166</v>
      </c>
      <c r="AJ461" s="20" t="s">
        <v>5595</v>
      </c>
      <c r="AK461" s="115">
        <v>4200000</v>
      </c>
      <c r="AL461" s="20">
        <v>0</v>
      </c>
      <c r="AM461" s="20">
        <f t="shared" si="85"/>
        <v>202</v>
      </c>
      <c r="AN461" s="20">
        <f t="shared" si="86"/>
        <v>848400000</v>
      </c>
      <c r="AO461" s="20"/>
    </row>
    <row r="462" spans="18:45">
      <c r="R462" s="97" t="s">
        <v>5639</v>
      </c>
      <c r="S462" s="93">
        <v>6460549.4269619994</v>
      </c>
      <c r="U462" s="19" t="s">
        <v>6195</v>
      </c>
      <c r="V462" s="19">
        <v>1154</v>
      </c>
      <c r="W462" s="115">
        <v>1851.788857</v>
      </c>
      <c r="X462" s="115">
        <f t="shared" si="74"/>
        <v>2136964.3409779998</v>
      </c>
      <c r="Y462" s="259" t="s">
        <v>5095</v>
      </c>
      <c r="AA462" t="s">
        <v>25</v>
      </c>
      <c r="AI462" s="147">
        <v>167</v>
      </c>
      <c r="AJ462" s="147" t="s">
        <v>5595</v>
      </c>
      <c r="AK462" s="186">
        <v>3300000</v>
      </c>
      <c r="AL462" s="147">
        <v>11</v>
      </c>
      <c r="AM462" s="147">
        <f t="shared" si="85"/>
        <v>202</v>
      </c>
      <c r="AN462" s="147">
        <f t="shared" si="86"/>
        <v>666600000</v>
      </c>
      <c r="AO462" s="147"/>
    </row>
    <row r="463" spans="18:45" ht="30">
      <c r="R463" s="97" t="s">
        <v>5642</v>
      </c>
      <c r="S463" s="93">
        <v>5212319.8968359996</v>
      </c>
      <c r="U463" s="19" t="s">
        <v>6195</v>
      </c>
      <c r="V463" s="19">
        <v>3240</v>
      </c>
      <c r="W463" s="115">
        <v>1851.788857</v>
      </c>
      <c r="X463" s="115">
        <f t="shared" si="74"/>
        <v>5999795.8966800002</v>
      </c>
      <c r="Y463" s="259" t="s">
        <v>6196</v>
      </c>
      <c r="AB463" t="s">
        <v>25</v>
      </c>
      <c r="AI463" s="147">
        <v>168</v>
      </c>
      <c r="AJ463" s="147" t="s">
        <v>5619</v>
      </c>
      <c r="AK463" s="186">
        <v>-1500000</v>
      </c>
      <c r="AL463" s="147">
        <v>42</v>
      </c>
      <c r="AM463" s="147">
        <f t="shared" si="85"/>
        <v>191</v>
      </c>
      <c r="AN463" s="147">
        <f t="shared" si="86"/>
        <v>-286500000</v>
      </c>
      <c r="AO463" s="147"/>
    </row>
    <row r="464" spans="18:45">
      <c r="R464" s="97" t="s">
        <v>5644</v>
      </c>
      <c r="S464" s="93">
        <v>4524496.4792809999</v>
      </c>
      <c r="U464" s="19" t="s">
        <v>6195</v>
      </c>
      <c r="V464" s="19">
        <v>-3240</v>
      </c>
      <c r="W464" s="115">
        <v>1851.788857</v>
      </c>
      <c r="X464" s="115">
        <f t="shared" si="74"/>
        <v>-5999795.8966800002</v>
      </c>
      <c r="Y464" s="259" t="s">
        <v>6197</v>
      </c>
      <c r="AA464" t="s">
        <v>25</v>
      </c>
      <c r="AI464" s="20">
        <v>169</v>
      </c>
      <c r="AJ464" s="20" t="s">
        <v>5665</v>
      </c>
      <c r="AK464" s="115">
        <v>260000</v>
      </c>
      <c r="AL464" s="20">
        <v>22</v>
      </c>
      <c r="AM464" s="20">
        <f t="shared" si="85"/>
        <v>149</v>
      </c>
      <c r="AN464" s="20">
        <f t="shared" si="86"/>
        <v>38740000</v>
      </c>
      <c r="AO464" s="20"/>
      <c r="AS464" t="s">
        <v>25</v>
      </c>
    </row>
    <row r="465" spans="18:46">
      <c r="R465" s="97" t="s">
        <v>5646</v>
      </c>
      <c r="S465" s="93">
        <v>22866040.240959998</v>
      </c>
      <c r="U465" s="19" t="s">
        <v>6198</v>
      </c>
      <c r="V465" s="19">
        <v>330</v>
      </c>
      <c r="W465" s="115">
        <v>1799.34311</v>
      </c>
      <c r="X465" s="115">
        <f t="shared" si="74"/>
        <v>593783.22629999998</v>
      </c>
      <c r="Y465" s="259" t="s">
        <v>5095</v>
      </c>
      <c r="AB465" t="s">
        <v>25</v>
      </c>
      <c r="AI465" s="20">
        <v>170</v>
      </c>
      <c r="AJ465" s="20" t="s">
        <v>5693</v>
      </c>
      <c r="AK465" s="115">
        <v>20000</v>
      </c>
      <c r="AL465" s="20">
        <v>0</v>
      </c>
      <c r="AM465" s="20">
        <f t="shared" si="85"/>
        <v>127</v>
      </c>
      <c r="AN465" s="20">
        <f t="shared" si="86"/>
        <v>2540000</v>
      </c>
      <c r="AO465" s="20"/>
      <c r="AS465" t="s">
        <v>25</v>
      </c>
    </row>
    <row r="466" spans="18:46">
      <c r="R466" s="97" t="s">
        <v>5648</v>
      </c>
      <c r="S466" s="93">
        <v>15359304.269892</v>
      </c>
      <c r="U466" s="19" t="s">
        <v>6202</v>
      </c>
      <c r="V466" s="19">
        <v>266</v>
      </c>
      <c r="W466" s="115">
        <v>1764.9246700000001</v>
      </c>
      <c r="X466" s="115">
        <f t="shared" si="74"/>
        <v>469469.96222000004</v>
      </c>
      <c r="Y466" s="259" t="s">
        <v>5095</v>
      </c>
      <c r="Z466" t="s">
        <v>25</v>
      </c>
      <c r="AI466" s="191">
        <v>171</v>
      </c>
      <c r="AJ466" s="191" t="s">
        <v>5693</v>
      </c>
      <c r="AK466" s="192">
        <v>20000</v>
      </c>
      <c r="AL466" s="191">
        <v>7</v>
      </c>
      <c r="AM466" s="147">
        <f t="shared" ref="AM466:AM474" si="87">AL466+AM467</f>
        <v>127</v>
      </c>
      <c r="AN466" s="147">
        <f>AK466*AM466</f>
        <v>2540000</v>
      </c>
      <c r="AO466" s="191"/>
    </row>
    <row r="467" spans="18:46">
      <c r="R467" s="97" t="s">
        <v>5649</v>
      </c>
      <c r="S467" s="93">
        <v>2868508.1846330003</v>
      </c>
      <c r="U467" s="187" t="s">
        <v>6206</v>
      </c>
      <c r="V467" s="187">
        <v>-10637</v>
      </c>
      <c r="W467" s="186">
        <v>1739.5916549999999</v>
      </c>
      <c r="X467" s="186">
        <f t="shared" si="74"/>
        <v>-18504036.434234999</v>
      </c>
      <c r="Y467" s="258" t="s">
        <v>6209</v>
      </c>
      <c r="Z467" t="s">
        <v>25</v>
      </c>
      <c r="AB467" t="s">
        <v>25</v>
      </c>
      <c r="AI467" s="147">
        <v>172</v>
      </c>
      <c r="AJ467" s="147" t="s">
        <v>5701</v>
      </c>
      <c r="AK467" s="186">
        <v>70000</v>
      </c>
      <c r="AL467" s="147">
        <v>0</v>
      </c>
      <c r="AM467" s="147">
        <f t="shared" si="87"/>
        <v>120</v>
      </c>
      <c r="AN467" s="147">
        <f>AK467*AM467</f>
        <v>8400000</v>
      </c>
      <c r="AO467" s="147"/>
      <c r="AT467" t="s">
        <v>25</v>
      </c>
    </row>
    <row r="468" spans="18:46">
      <c r="R468" s="97" t="s">
        <v>5650</v>
      </c>
      <c r="S468" s="93">
        <v>17450393.011856001</v>
      </c>
      <c r="U468" s="19" t="s">
        <v>6206</v>
      </c>
      <c r="V468" s="19">
        <v>10637</v>
      </c>
      <c r="W468" s="115">
        <v>1739.5916549999999</v>
      </c>
      <c r="X468" s="115">
        <f t="shared" si="74"/>
        <v>18504036.434234999</v>
      </c>
      <c r="Y468" s="259" t="s">
        <v>6210</v>
      </c>
      <c r="AB468" t="s">
        <v>25</v>
      </c>
      <c r="AI468" s="20">
        <v>173</v>
      </c>
      <c r="AJ468" s="20" t="s">
        <v>5701</v>
      </c>
      <c r="AK468" s="115">
        <v>70000</v>
      </c>
      <c r="AL468" s="20">
        <v>1</v>
      </c>
      <c r="AM468" s="20">
        <f t="shared" si="87"/>
        <v>120</v>
      </c>
      <c r="AN468" s="20">
        <f>AK468*AM468</f>
        <v>8400000</v>
      </c>
      <c r="AO468" s="20"/>
    </row>
    <row r="469" spans="18:46" ht="30">
      <c r="R469" s="97" t="s">
        <v>5651</v>
      </c>
      <c r="S469" s="93">
        <v>31388943.254850004</v>
      </c>
      <c r="U469" s="19" t="s">
        <v>6233</v>
      </c>
      <c r="V469" s="19">
        <v>39478</v>
      </c>
      <c r="W469" s="115">
        <v>1873.903047</v>
      </c>
      <c r="X469" s="115">
        <f t="shared" si="74"/>
        <v>73977944.489465997</v>
      </c>
      <c r="Y469" s="259" t="s">
        <v>6234</v>
      </c>
      <c r="AI469" s="20">
        <v>174</v>
      </c>
      <c r="AJ469" s="20" t="s">
        <v>5707</v>
      </c>
      <c r="AK469" s="115">
        <v>330000</v>
      </c>
      <c r="AL469" s="20">
        <v>0</v>
      </c>
      <c r="AM469" s="20">
        <f t="shared" si="87"/>
        <v>119</v>
      </c>
      <c r="AN469" s="20">
        <f>AK469*AM469</f>
        <v>39270000</v>
      </c>
      <c r="AO469" s="20"/>
    </row>
    <row r="470" spans="18:46">
      <c r="R470" s="97" t="s">
        <v>5653</v>
      </c>
      <c r="S470" s="93">
        <v>30912095.373174001</v>
      </c>
      <c r="U470" s="19" t="s">
        <v>6237</v>
      </c>
      <c r="V470" s="19">
        <v>283</v>
      </c>
      <c r="W470" s="115">
        <v>2014.7222959999999</v>
      </c>
      <c r="X470" s="115">
        <f t="shared" si="74"/>
        <v>570166.40976800001</v>
      </c>
      <c r="Y470" s="259" t="s">
        <v>6238</v>
      </c>
      <c r="Z470" t="s">
        <v>25</v>
      </c>
      <c r="AB470" t="s">
        <v>25</v>
      </c>
      <c r="AI470" s="147">
        <v>175</v>
      </c>
      <c r="AJ470" s="147" t="s">
        <v>5707</v>
      </c>
      <c r="AK470" s="186">
        <v>330000</v>
      </c>
      <c r="AL470" s="147">
        <v>10</v>
      </c>
      <c r="AM470" s="147">
        <f t="shared" si="87"/>
        <v>119</v>
      </c>
      <c r="AN470" s="147">
        <f t="shared" ref="AN470:AN475" si="88">AK470*AM470</f>
        <v>39270000</v>
      </c>
      <c r="AO470" s="147"/>
    </row>
    <row r="471" spans="18:46">
      <c r="R471" s="97" t="s">
        <v>5657</v>
      </c>
      <c r="S471" s="93">
        <v>19602926.115093999</v>
      </c>
      <c r="U471" s="19" t="s">
        <v>6240</v>
      </c>
      <c r="V471" s="19">
        <v>1704</v>
      </c>
      <c r="W471" s="115">
        <v>2104.0605820000001</v>
      </c>
      <c r="X471" s="115">
        <f t="shared" si="74"/>
        <v>3585319.2317280001</v>
      </c>
      <c r="Y471" s="259" t="s">
        <v>5095</v>
      </c>
      <c r="AA471" t="s">
        <v>25</v>
      </c>
      <c r="AB471" t="s">
        <v>25</v>
      </c>
      <c r="AI471" s="147">
        <v>176</v>
      </c>
      <c r="AJ471" s="147" t="s">
        <v>5715</v>
      </c>
      <c r="AK471" s="186">
        <v>90000000</v>
      </c>
      <c r="AL471" s="147">
        <v>16</v>
      </c>
      <c r="AM471" s="147">
        <f t="shared" si="87"/>
        <v>109</v>
      </c>
      <c r="AN471" s="147">
        <f t="shared" si="88"/>
        <v>9810000000</v>
      </c>
      <c r="AO471" s="147"/>
    </row>
    <row r="472" spans="18:46">
      <c r="R472" s="97" t="s">
        <v>5659</v>
      </c>
      <c r="S472" s="93">
        <v>34458590.308710001</v>
      </c>
      <c r="U472" s="19" t="s">
        <v>6243</v>
      </c>
      <c r="V472" s="19">
        <v>324</v>
      </c>
      <c r="W472" s="115">
        <v>2088.5824040000002</v>
      </c>
      <c r="X472" s="115">
        <f t="shared" si="74"/>
        <v>676700.69889600005</v>
      </c>
      <c r="Y472" s="259" t="s">
        <v>5095</v>
      </c>
      <c r="Z472" t="s">
        <v>25</v>
      </c>
      <c r="AA472" t="s">
        <v>25</v>
      </c>
      <c r="AB472" t="s">
        <v>25</v>
      </c>
      <c r="AI472" s="147">
        <v>177</v>
      </c>
      <c r="AJ472" s="147" t="s">
        <v>5736</v>
      </c>
      <c r="AK472" s="186">
        <v>-15000000</v>
      </c>
      <c r="AL472" s="147">
        <v>65</v>
      </c>
      <c r="AM472" s="147">
        <f t="shared" si="87"/>
        <v>93</v>
      </c>
      <c r="AN472" s="147">
        <f t="shared" si="88"/>
        <v>-1395000000</v>
      </c>
      <c r="AO472" s="147" t="s">
        <v>5737</v>
      </c>
    </row>
    <row r="473" spans="18:46">
      <c r="R473" s="97" t="s">
        <v>5661</v>
      </c>
      <c r="S473" s="93">
        <v>21697868.203256</v>
      </c>
      <c r="U473" s="19" t="s">
        <v>6251</v>
      </c>
      <c r="V473" s="19">
        <v>538</v>
      </c>
      <c r="W473" s="115">
        <v>2055.3485930000002</v>
      </c>
      <c r="X473" s="115">
        <f t="shared" si="74"/>
        <v>1105777.5430340001</v>
      </c>
      <c r="Y473" s="259" t="s">
        <v>5095</v>
      </c>
      <c r="Z473" t="s">
        <v>25</v>
      </c>
      <c r="AI473" s="147">
        <v>178</v>
      </c>
      <c r="AJ473" s="147" t="s">
        <v>5796</v>
      </c>
      <c r="AK473" s="186">
        <v>33833075</v>
      </c>
      <c r="AL473" s="147">
        <v>0</v>
      </c>
      <c r="AM473" s="147">
        <f t="shared" si="87"/>
        <v>28</v>
      </c>
      <c r="AN473" s="147">
        <f t="shared" si="88"/>
        <v>947326100</v>
      </c>
      <c r="AO473" s="147" t="s">
        <v>5800</v>
      </c>
    </row>
    <row r="474" spans="18:46">
      <c r="R474" s="97" t="s">
        <v>5662</v>
      </c>
      <c r="S474" s="93">
        <v>25340079.252110001</v>
      </c>
      <c r="U474" s="19" t="s">
        <v>6254</v>
      </c>
      <c r="V474" s="19">
        <v>1031</v>
      </c>
      <c r="W474" s="115">
        <v>2245.620621</v>
      </c>
      <c r="X474" s="115">
        <f t="shared" si="74"/>
        <v>2315234.8602510002</v>
      </c>
      <c r="Y474" s="259" t="s">
        <v>5095</v>
      </c>
      <c r="Z474" t="s">
        <v>25</v>
      </c>
      <c r="AB474" t="s">
        <v>25</v>
      </c>
      <c r="AI474" s="20">
        <v>197</v>
      </c>
      <c r="AJ474" s="20" t="s">
        <v>5796</v>
      </c>
      <c r="AK474" s="115">
        <v>20033075</v>
      </c>
      <c r="AL474" s="20">
        <v>28</v>
      </c>
      <c r="AM474" s="20">
        <f t="shared" si="87"/>
        <v>28</v>
      </c>
      <c r="AN474" s="20">
        <f t="shared" si="88"/>
        <v>560926100</v>
      </c>
      <c r="AO474" s="20" t="s">
        <v>5800</v>
      </c>
    </row>
    <row r="475" spans="18:46">
      <c r="R475" s="97" t="s">
        <v>5665</v>
      </c>
      <c r="S475" s="93">
        <v>14780983.183526</v>
      </c>
      <c r="U475" s="19" t="s">
        <v>6255</v>
      </c>
      <c r="V475" s="19">
        <v>1804</v>
      </c>
      <c r="W475" s="115">
        <v>2292.882846</v>
      </c>
      <c r="X475" s="115">
        <f t="shared" si="74"/>
        <v>4136360.6541840001</v>
      </c>
      <c r="Y475" s="259" t="s">
        <v>5095</v>
      </c>
      <c r="AB475" t="s">
        <v>25</v>
      </c>
      <c r="AI475" s="147">
        <v>198</v>
      </c>
      <c r="AJ475" s="147" t="s">
        <v>5812</v>
      </c>
      <c r="AK475" s="186">
        <v>-22520813.151772</v>
      </c>
      <c r="AL475" s="147">
        <v>0</v>
      </c>
      <c r="AM475" s="147">
        <f>AL475+AM503</f>
        <v>0</v>
      </c>
      <c r="AN475" s="147">
        <f t="shared" si="88"/>
        <v>0</v>
      </c>
      <c r="AO475" s="147" t="s">
        <v>5820</v>
      </c>
    </row>
    <row r="476" spans="18:46">
      <c r="R476" s="97" t="s">
        <v>5665</v>
      </c>
      <c r="S476" s="93">
        <v>17804396.448481999</v>
      </c>
      <c r="U476" s="19" t="s">
        <v>6257</v>
      </c>
      <c r="V476" s="19">
        <v>1348</v>
      </c>
      <c r="W476" s="115">
        <v>2252.0137020000002</v>
      </c>
      <c r="X476" s="115">
        <f t="shared" si="74"/>
        <v>3035714.4702960001</v>
      </c>
      <c r="Y476" s="259" t="s">
        <v>5095</v>
      </c>
      <c r="AI476" s="20">
        <v>199</v>
      </c>
      <c r="AJ476" s="20" t="s">
        <v>5812</v>
      </c>
      <c r="AK476" s="115">
        <v>-204353015</v>
      </c>
      <c r="AL476" s="20">
        <v>0</v>
      </c>
      <c r="AM476" s="20">
        <f t="shared" ref="AM476:AM479" si="89">AL476+AM477</f>
        <v>383</v>
      </c>
      <c r="AN476" s="20">
        <f t="shared" ref="AN476:AN479" si="90">AK476*AM476</f>
        <v>-78267204745</v>
      </c>
      <c r="AO476" s="20" t="s">
        <v>5821</v>
      </c>
    </row>
    <row r="477" spans="18:46">
      <c r="R477" s="97" t="s">
        <v>5668</v>
      </c>
      <c r="S477" s="93">
        <v>260260000</v>
      </c>
      <c r="U477" s="19" t="s">
        <v>6264</v>
      </c>
      <c r="V477" s="19">
        <v>-76536</v>
      </c>
      <c r="W477" s="115">
        <v>2350.6086869999999</v>
      </c>
      <c r="X477" s="115">
        <f t="shared" si="74"/>
        <v>-179906186.46823201</v>
      </c>
      <c r="Y477" s="259" t="s">
        <v>6266</v>
      </c>
      <c r="AI477" s="20">
        <v>200</v>
      </c>
      <c r="AJ477" s="20" t="s">
        <v>5812</v>
      </c>
      <c r="AK477" s="115">
        <v>50000000</v>
      </c>
      <c r="AL477" s="20">
        <v>1</v>
      </c>
      <c r="AM477" s="20">
        <f t="shared" si="89"/>
        <v>383</v>
      </c>
      <c r="AN477" s="20">
        <f t="shared" si="90"/>
        <v>19150000000</v>
      </c>
      <c r="AO477" s="20" t="s">
        <v>5822</v>
      </c>
    </row>
    <row r="478" spans="18:46">
      <c r="R478" s="97" t="s">
        <v>5669</v>
      </c>
      <c r="S478" s="93">
        <v>11538335.631417999</v>
      </c>
      <c r="U478" s="19" t="s">
        <v>6268</v>
      </c>
      <c r="V478" s="19">
        <v>145</v>
      </c>
      <c r="W478" s="115">
        <v>2379.7882030000001</v>
      </c>
      <c r="X478" s="115">
        <f t="shared" si="74"/>
        <v>345069.28943499998</v>
      </c>
      <c r="Y478" s="259" t="s">
        <v>5095</v>
      </c>
      <c r="Z478" t="s">
        <v>25</v>
      </c>
      <c r="AB478" t="s">
        <v>25</v>
      </c>
      <c r="AI478" s="20">
        <v>201</v>
      </c>
      <c r="AJ478" s="20" t="s">
        <v>5828</v>
      </c>
      <c r="AK478" s="115">
        <v>50000000</v>
      </c>
      <c r="AL478" s="20">
        <v>8</v>
      </c>
      <c r="AM478" s="20">
        <f t="shared" si="89"/>
        <v>382</v>
      </c>
      <c r="AN478" s="20">
        <f t="shared" si="90"/>
        <v>19100000000</v>
      </c>
      <c r="AO478" s="20" t="s">
        <v>5822</v>
      </c>
      <c r="AT478" t="s">
        <v>25</v>
      </c>
    </row>
    <row r="479" spans="18:46">
      <c r="R479" s="97" t="s">
        <v>5677</v>
      </c>
      <c r="S479" s="93">
        <v>12429517.767776001</v>
      </c>
      <c r="U479" s="187" t="s">
        <v>6268</v>
      </c>
      <c r="V479" s="187">
        <v>55</v>
      </c>
      <c r="W479" s="186">
        <v>2379.7882030000001</v>
      </c>
      <c r="X479" s="186">
        <f t="shared" si="74"/>
        <v>130888.351165</v>
      </c>
      <c r="Y479" s="258" t="s">
        <v>6353</v>
      </c>
      <c r="AA479" t="s">
        <v>25</v>
      </c>
      <c r="AI479" s="20">
        <v>202</v>
      </c>
      <c r="AJ479" s="20" t="s">
        <v>6180</v>
      </c>
      <c r="AK479" s="115">
        <v>30000000</v>
      </c>
      <c r="AL479" s="20">
        <v>2</v>
      </c>
      <c r="AM479" s="20">
        <f t="shared" si="89"/>
        <v>374</v>
      </c>
      <c r="AN479" s="20">
        <f t="shared" si="90"/>
        <v>11220000000</v>
      </c>
      <c r="AO479" s="20" t="s">
        <v>6181</v>
      </c>
    </row>
    <row r="480" spans="18:46">
      <c r="R480" s="97" t="s">
        <v>5679</v>
      </c>
      <c r="S480" s="93">
        <v>5031176.5087869996</v>
      </c>
      <c r="U480" s="19" t="s">
        <v>6268</v>
      </c>
      <c r="V480" s="19">
        <v>53</v>
      </c>
      <c r="W480" s="115">
        <v>2379.7882030000001</v>
      </c>
      <c r="X480" s="115">
        <f t="shared" si="74"/>
        <v>126128.77475900001</v>
      </c>
      <c r="Y480" s="259" t="s">
        <v>6354</v>
      </c>
      <c r="AA480" t="s">
        <v>25</v>
      </c>
      <c r="AI480" s="147">
        <v>203</v>
      </c>
      <c r="AJ480" s="147" t="s">
        <v>6185</v>
      </c>
      <c r="AK480" s="186">
        <v>20000000</v>
      </c>
      <c r="AL480" s="147">
        <v>29</v>
      </c>
      <c r="AM480" s="147">
        <f t="shared" ref="AM480:AM489" si="91">AL480+AM481</f>
        <v>372</v>
      </c>
      <c r="AN480" s="147">
        <f t="shared" ref="AN480:AN489" si="92">AK480*AM480</f>
        <v>7440000000</v>
      </c>
      <c r="AO480" s="147" t="s">
        <v>6186</v>
      </c>
    </row>
    <row r="481" spans="18:47">
      <c r="R481" s="97" t="s">
        <v>5683</v>
      </c>
      <c r="S481" s="93">
        <v>6822803.9080700008</v>
      </c>
      <c r="U481" s="19" t="s">
        <v>6359</v>
      </c>
      <c r="V481" s="19">
        <v>243</v>
      </c>
      <c r="W481" s="115">
        <v>2336.5653440000001</v>
      </c>
      <c r="X481" s="115">
        <f t="shared" si="74"/>
        <v>567785.37859199999</v>
      </c>
      <c r="Y481" s="259" t="s">
        <v>5095</v>
      </c>
      <c r="AI481" s="147">
        <v>204</v>
      </c>
      <c r="AJ481" s="147" t="s">
        <v>6206</v>
      </c>
      <c r="AK481" s="186">
        <v>-20000000</v>
      </c>
      <c r="AL481" s="147">
        <v>0</v>
      </c>
      <c r="AM481" s="147">
        <f t="shared" si="91"/>
        <v>343</v>
      </c>
      <c r="AN481" s="147">
        <f t="shared" si="92"/>
        <v>-6860000000</v>
      </c>
      <c r="AO481" s="147" t="s">
        <v>6207</v>
      </c>
    </row>
    <row r="482" spans="18:47">
      <c r="R482" s="97" t="s">
        <v>5692</v>
      </c>
      <c r="S482" s="93">
        <v>330889.73324399994</v>
      </c>
      <c r="U482" s="19" t="s">
        <v>6370</v>
      </c>
      <c r="V482" s="19">
        <v>81</v>
      </c>
      <c r="W482" s="115">
        <v>2341.77675</v>
      </c>
      <c r="X482" s="115">
        <f t="shared" si="74"/>
        <v>189683.91675</v>
      </c>
      <c r="Y482" s="259" t="s">
        <v>5095</v>
      </c>
      <c r="Z482" t="s">
        <v>25</v>
      </c>
      <c r="AI482" s="147">
        <v>205</v>
      </c>
      <c r="AJ482" s="147" t="s">
        <v>6206</v>
      </c>
      <c r="AK482" s="186">
        <v>2000000</v>
      </c>
      <c r="AL482" s="147">
        <v>110</v>
      </c>
      <c r="AM482" s="147">
        <f t="shared" si="91"/>
        <v>343</v>
      </c>
      <c r="AN482" s="147">
        <f t="shared" si="92"/>
        <v>686000000</v>
      </c>
      <c r="AO482" s="147" t="s">
        <v>6208</v>
      </c>
    </row>
    <row r="483" spans="18:47">
      <c r="R483" s="97" t="s">
        <v>5693</v>
      </c>
      <c r="S483" s="93">
        <v>6610318.1610199995</v>
      </c>
      <c r="U483" s="187" t="s">
        <v>6371</v>
      </c>
      <c r="V483" s="187">
        <v>21767</v>
      </c>
      <c r="W483" s="186">
        <v>2297.060872</v>
      </c>
      <c r="X483" s="186">
        <f t="shared" si="74"/>
        <v>50000124.000823997</v>
      </c>
      <c r="Y483" s="258" t="s">
        <v>6373</v>
      </c>
      <c r="AI483" s="147">
        <v>206</v>
      </c>
      <c r="AJ483" s="147" t="s">
        <v>6410</v>
      </c>
      <c r="AK483" s="186">
        <v>5082711</v>
      </c>
      <c r="AL483" s="147">
        <v>89</v>
      </c>
      <c r="AM483" s="147">
        <f t="shared" si="91"/>
        <v>233</v>
      </c>
      <c r="AN483" s="147">
        <f t="shared" si="92"/>
        <v>1184271663</v>
      </c>
      <c r="AO483" s="147" t="s">
        <v>6411</v>
      </c>
    </row>
    <row r="484" spans="18:47">
      <c r="R484" s="97" t="s">
        <v>5695</v>
      </c>
      <c r="S484" s="93">
        <v>710713.17725199996</v>
      </c>
      <c r="U484" s="19" t="s">
        <v>6371</v>
      </c>
      <c r="V484" s="19">
        <v>4353</v>
      </c>
      <c r="W484" s="115">
        <v>2297.060872</v>
      </c>
      <c r="X484" s="115">
        <f t="shared" si="74"/>
        <v>9999105.9758160003</v>
      </c>
      <c r="Y484" s="259" t="s">
        <v>6374</v>
      </c>
      <c r="AA484" t="s">
        <v>25</v>
      </c>
      <c r="AI484" s="147">
        <v>207</v>
      </c>
      <c r="AJ484" s="147" t="s">
        <v>6827</v>
      </c>
      <c r="AK484" s="186">
        <v>7300000</v>
      </c>
      <c r="AL484" s="147">
        <v>0</v>
      </c>
      <c r="AM484" s="147">
        <f t="shared" si="91"/>
        <v>144</v>
      </c>
      <c r="AN484" s="147">
        <f t="shared" si="92"/>
        <v>1051200000</v>
      </c>
      <c r="AO484" s="147" t="s">
        <v>6829</v>
      </c>
    </row>
    <row r="485" spans="18:47">
      <c r="R485" s="97" t="s">
        <v>5698</v>
      </c>
      <c r="S485" s="93">
        <v>81025</v>
      </c>
      <c r="U485" s="19" t="s">
        <v>6371</v>
      </c>
      <c r="V485" s="19">
        <v>226</v>
      </c>
      <c r="W485" s="115">
        <v>2297.060872</v>
      </c>
      <c r="X485" s="115">
        <f t="shared" si="74"/>
        <v>519135.75707200001</v>
      </c>
      <c r="Y485" s="259" t="s">
        <v>5095</v>
      </c>
      <c r="AB485" t="s">
        <v>25</v>
      </c>
      <c r="AI485" s="20">
        <v>208</v>
      </c>
      <c r="AJ485" s="20" t="s">
        <v>6827</v>
      </c>
      <c r="AK485" s="115">
        <v>7000000</v>
      </c>
      <c r="AL485" s="20">
        <v>135</v>
      </c>
      <c r="AM485" s="20">
        <f t="shared" si="91"/>
        <v>144</v>
      </c>
      <c r="AN485" s="20">
        <f t="shared" si="92"/>
        <v>1008000000</v>
      </c>
      <c r="AO485" s="20" t="s">
        <v>5822</v>
      </c>
    </row>
    <row r="486" spans="18:47">
      <c r="R486" s="97" t="s">
        <v>5699</v>
      </c>
      <c r="S486" s="93">
        <v>219696.613128</v>
      </c>
      <c r="U486" s="19" t="s">
        <v>6377</v>
      </c>
      <c r="V486" s="19">
        <v>1416</v>
      </c>
      <c r="W486" s="115">
        <v>2405.6595360000001</v>
      </c>
      <c r="X486" s="115">
        <f t="shared" si="74"/>
        <v>3406413.9029760002</v>
      </c>
      <c r="Y486" s="259" t="s">
        <v>5095</v>
      </c>
      <c r="AA486" t="s">
        <v>25</v>
      </c>
      <c r="AI486" s="147">
        <v>209</v>
      </c>
      <c r="AJ486" s="147" t="s">
        <v>6922</v>
      </c>
      <c r="AK486" s="186">
        <v>-20000000</v>
      </c>
      <c r="AL486" s="147">
        <v>0</v>
      </c>
      <c r="AM486" s="147">
        <f t="shared" si="91"/>
        <v>9</v>
      </c>
      <c r="AN486" s="147">
        <f t="shared" si="92"/>
        <v>-180000000</v>
      </c>
      <c r="AO486" s="147" t="s">
        <v>6926</v>
      </c>
      <c r="AS486" t="s">
        <v>25</v>
      </c>
    </row>
    <row r="487" spans="18:47">
      <c r="R487" s="97" t="s">
        <v>5700</v>
      </c>
      <c r="S487" s="93">
        <v>6035472.4070199998</v>
      </c>
      <c r="U487" s="19" t="s">
        <v>6379</v>
      </c>
      <c r="V487" s="19">
        <v>172</v>
      </c>
      <c r="W487" s="115">
        <v>2529.2810939999999</v>
      </c>
      <c r="X487" s="115">
        <f t="shared" si="74"/>
        <v>435036.348168</v>
      </c>
      <c r="Y487" s="259" t="s">
        <v>5095</v>
      </c>
      <c r="AA487" t="s">
        <v>25</v>
      </c>
      <c r="AI487" s="147">
        <v>210</v>
      </c>
      <c r="AJ487" s="147" t="s">
        <v>6922</v>
      </c>
      <c r="AK487" s="186">
        <v>-59825035</v>
      </c>
      <c r="AL487" s="147">
        <v>0</v>
      </c>
      <c r="AM487" s="147">
        <f t="shared" si="91"/>
        <v>9</v>
      </c>
      <c r="AN487" s="147">
        <f t="shared" si="92"/>
        <v>-538425315</v>
      </c>
      <c r="AO487" s="147" t="s">
        <v>5820</v>
      </c>
    </row>
    <row r="488" spans="18:47">
      <c r="R488" s="97" t="s">
        <v>5701</v>
      </c>
      <c r="S488" s="93">
        <v>984486.34963200008</v>
      </c>
      <c r="U488" s="19" t="s">
        <v>6387</v>
      </c>
      <c r="V488" s="19">
        <v>-3909</v>
      </c>
      <c r="W488" s="115">
        <v>2881.8852230000002</v>
      </c>
      <c r="X488" s="115">
        <f>V488*W488</f>
        <v>-11265289.336707002</v>
      </c>
      <c r="Y488" s="259" t="s">
        <v>6388</v>
      </c>
      <c r="AI488" s="20">
        <v>211</v>
      </c>
      <c r="AJ488" s="20" t="s">
        <v>6922</v>
      </c>
      <c r="AK488" s="115">
        <v>-450269000</v>
      </c>
      <c r="AL488" s="20">
        <v>1</v>
      </c>
      <c r="AM488" s="20">
        <f t="shared" si="91"/>
        <v>9</v>
      </c>
      <c r="AN488" s="20">
        <f t="shared" si="92"/>
        <v>-4052421000</v>
      </c>
      <c r="AO488" s="20" t="s">
        <v>5819</v>
      </c>
    </row>
    <row r="489" spans="18:47">
      <c r="R489" s="97" t="s">
        <v>5711</v>
      </c>
      <c r="S489" s="93">
        <v>2143469.938015</v>
      </c>
      <c r="U489" s="187" t="s">
        <v>6387</v>
      </c>
      <c r="V489" s="187">
        <v>-932</v>
      </c>
      <c r="W489" s="186">
        <v>2881.8852230000002</v>
      </c>
      <c r="X489" s="186">
        <f t="shared" si="74"/>
        <v>-2685917.0278360001</v>
      </c>
      <c r="Y489" s="258" t="s">
        <v>6389</v>
      </c>
      <c r="AB489" t="s">
        <v>25</v>
      </c>
      <c r="AI489" s="20">
        <v>212</v>
      </c>
      <c r="AJ489" s="20" t="s">
        <v>6930</v>
      </c>
      <c r="AK489" s="115">
        <v>50000000</v>
      </c>
      <c r="AL489" s="20">
        <v>1</v>
      </c>
      <c r="AM489" s="20">
        <f t="shared" si="91"/>
        <v>8</v>
      </c>
      <c r="AN489" s="20">
        <f t="shared" si="92"/>
        <v>400000000</v>
      </c>
      <c r="AO489" s="20" t="s">
        <v>5822</v>
      </c>
    </row>
    <row r="490" spans="18:47">
      <c r="R490" s="97" t="s">
        <v>5712</v>
      </c>
      <c r="S490" s="93">
        <v>3085460.5177150001</v>
      </c>
      <c r="U490" s="19" t="s">
        <v>6397</v>
      </c>
      <c r="V490" s="19">
        <v>33</v>
      </c>
      <c r="W490" s="115">
        <v>2905.0202519999998</v>
      </c>
      <c r="X490" s="115">
        <f t="shared" si="74"/>
        <v>95865.668315999996</v>
      </c>
      <c r="Y490" s="259" t="s">
        <v>4406</v>
      </c>
      <c r="AC490" t="s">
        <v>25</v>
      </c>
      <c r="AI490" s="20">
        <v>213</v>
      </c>
      <c r="AJ490" s="20" t="s">
        <v>6937</v>
      </c>
      <c r="AK490" s="115">
        <v>50000000</v>
      </c>
      <c r="AL490" s="20">
        <v>1</v>
      </c>
      <c r="AM490" s="20">
        <f t="shared" ref="AM490:AM503" si="93">AL490+AM491</f>
        <v>7</v>
      </c>
      <c r="AN490" s="20">
        <f t="shared" ref="AN490:AN503" si="94">AK490*AM490</f>
        <v>350000000</v>
      </c>
      <c r="AO490" s="20" t="s">
        <v>5822</v>
      </c>
    </row>
    <row r="491" spans="18:47">
      <c r="R491" s="97" t="s">
        <v>5713</v>
      </c>
      <c r="S491" s="93">
        <v>8261456.790906</v>
      </c>
      <c r="U491" s="187" t="s">
        <v>6410</v>
      </c>
      <c r="V491" s="187">
        <v>10421</v>
      </c>
      <c r="W491" s="186">
        <v>2780.2819920000002</v>
      </c>
      <c r="X491" s="186">
        <f t="shared" si="74"/>
        <v>28973318.638632003</v>
      </c>
      <c r="Y491" s="258" t="s">
        <v>6412</v>
      </c>
      <c r="AI491" s="20">
        <v>214</v>
      </c>
      <c r="AJ491" s="20" t="s">
        <v>6938</v>
      </c>
      <c r="AK491" s="115">
        <v>50000000</v>
      </c>
      <c r="AL491" s="20">
        <v>1</v>
      </c>
      <c r="AM491" s="20">
        <f t="shared" si="93"/>
        <v>6</v>
      </c>
      <c r="AN491" s="20">
        <f t="shared" si="94"/>
        <v>300000000</v>
      </c>
      <c r="AO491" s="20" t="s">
        <v>5822</v>
      </c>
      <c r="AT491" t="s">
        <v>25</v>
      </c>
    </row>
    <row r="492" spans="18:47">
      <c r="R492" s="97" t="s">
        <v>5717</v>
      </c>
      <c r="S492" s="93">
        <v>6572373.7593120001</v>
      </c>
      <c r="U492" s="19" t="s">
        <v>6410</v>
      </c>
      <c r="V492" s="19">
        <v>835</v>
      </c>
      <c r="W492" s="115">
        <v>2780.2819920000002</v>
      </c>
      <c r="X492" s="115">
        <f t="shared" si="74"/>
        <v>2321535.4633200001</v>
      </c>
      <c r="Y492" s="259" t="s">
        <v>5095</v>
      </c>
      <c r="AI492" s="20">
        <v>215</v>
      </c>
      <c r="AJ492" s="20" t="s">
        <v>6939</v>
      </c>
      <c r="AK492" s="115">
        <v>50000000</v>
      </c>
      <c r="AL492" s="20">
        <v>1</v>
      </c>
      <c r="AM492" s="20">
        <f t="shared" si="93"/>
        <v>5</v>
      </c>
      <c r="AN492" s="20">
        <f t="shared" si="94"/>
        <v>250000000</v>
      </c>
      <c r="AO492" s="20" t="s">
        <v>5822</v>
      </c>
      <c r="AS492" t="s">
        <v>25</v>
      </c>
      <c r="AT492" t="s">
        <v>25</v>
      </c>
    </row>
    <row r="493" spans="18:47">
      <c r="R493" s="97" t="s">
        <v>5718</v>
      </c>
      <c r="S493" s="93">
        <v>2893243.5730909999</v>
      </c>
      <c r="U493" s="19" t="s">
        <v>6691</v>
      </c>
      <c r="V493" s="19">
        <v>410</v>
      </c>
      <c r="W493" s="115">
        <v>2678.4068379999999</v>
      </c>
      <c r="X493" s="115">
        <f t="shared" si="74"/>
        <v>1098146.8035800001</v>
      </c>
      <c r="Y493" s="259" t="s">
        <v>5095</v>
      </c>
      <c r="AI493" s="20">
        <v>216</v>
      </c>
      <c r="AJ493" s="20" t="s">
        <v>6940</v>
      </c>
      <c r="AK493" s="115">
        <v>100000000</v>
      </c>
      <c r="AL493" s="20">
        <v>1</v>
      </c>
      <c r="AM493" s="20">
        <f t="shared" si="93"/>
        <v>4</v>
      </c>
      <c r="AN493" s="20">
        <f t="shared" si="94"/>
        <v>400000000</v>
      </c>
      <c r="AO493" s="20" t="s">
        <v>5822</v>
      </c>
      <c r="AS493" t="s">
        <v>25</v>
      </c>
      <c r="AT493" t="s">
        <v>25</v>
      </c>
      <c r="AU493" s="94" t="s">
        <v>25</v>
      </c>
    </row>
    <row r="494" spans="18:47">
      <c r="R494" s="97" t="s">
        <v>5723</v>
      </c>
      <c r="S494" s="93">
        <v>94992058.939007998</v>
      </c>
      <c r="U494" s="19" t="s">
        <v>6696</v>
      </c>
      <c r="V494" s="19">
        <v>201</v>
      </c>
      <c r="W494" s="115">
        <v>2688.6794049999999</v>
      </c>
      <c r="X494" s="115">
        <f t="shared" si="74"/>
        <v>540424.560405</v>
      </c>
      <c r="Y494" s="259" t="s">
        <v>5095</v>
      </c>
      <c r="AA494" t="s">
        <v>25</v>
      </c>
      <c r="AI494" s="20">
        <v>217</v>
      </c>
      <c r="AJ494" s="20" t="s">
        <v>6943</v>
      </c>
      <c r="AK494" s="115">
        <v>50000000</v>
      </c>
      <c r="AL494" s="20">
        <v>1</v>
      </c>
      <c r="AM494" s="20">
        <f t="shared" si="93"/>
        <v>3</v>
      </c>
      <c r="AN494" s="20">
        <f t="shared" si="94"/>
        <v>150000000</v>
      </c>
      <c r="AO494" s="20" t="s">
        <v>5822</v>
      </c>
      <c r="AR494" t="s">
        <v>25</v>
      </c>
    </row>
    <row r="495" spans="18:47">
      <c r="R495" s="97" t="s">
        <v>5728</v>
      </c>
      <c r="S495" s="93">
        <v>275021.925965</v>
      </c>
      <c r="U495" s="19" t="s">
        <v>6697</v>
      </c>
      <c r="V495" s="19">
        <v>1133</v>
      </c>
      <c r="W495" s="115">
        <v>2455.1740869999999</v>
      </c>
      <c r="X495" s="115">
        <f t="shared" si="74"/>
        <v>2781712.2405709997</v>
      </c>
      <c r="Y495" s="259" t="s">
        <v>5095</v>
      </c>
      <c r="AA495" t="s">
        <v>25</v>
      </c>
      <c r="AB495" t="s">
        <v>25</v>
      </c>
      <c r="AI495" s="20">
        <v>218</v>
      </c>
      <c r="AJ495" s="20" t="s">
        <v>6945</v>
      </c>
      <c r="AK495" s="115">
        <v>65511600</v>
      </c>
      <c r="AL495" s="20">
        <v>1</v>
      </c>
      <c r="AM495" s="20">
        <f t="shared" si="93"/>
        <v>2</v>
      </c>
      <c r="AN495" s="20">
        <f t="shared" si="94"/>
        <v>131023200</v>
      </c>
      <c r="AO495" s="20" t="s">
        <v>5822</v>
      </c>
    </row>
    <row r="496" spans="18:47">
      <c r="R496" s="97" t="s">
        <v>5738</v>
      </c>
      <c r="S496" s="93">
        <v>327451.9203</v>
      </c>
      <c r="U496" s="19" t="s">
        <v>6700</v>
      </c>
      <c r="V496" s="19">
        <v>59</v>
      </c>
      <c r="W496" s="115">
        <v>2706.4553110000002</v>
      </c>
      <c r="X496" s="115">
        <f t="shared" si="74"/>
        <v>159680.86334900002</v>
      </c>
      <c r="Y496" s="259" t="s">
        <v>6701</v>
      </c>
      <c r="Z496" t="s">
        <v>25</v>
      </c>
      <c r="AA496" t="s">
        <v>25</v>
      </c>
      <c r="AB496" t="s">
        <v>25</v>
      </c>
      <c r="AC496" t="s">
        <v>25</v>
      </c>
      <c r="AI496" s="20">
        <v>219</v>
      </c>
      <c r="AJ496" s="20" t="s">
        <v>6949</v>
      </c>
      <c r="AK496" s="115">
        <v>25000000</v>
      </c>
      <c r="AL496" s="20">
        <v>1</v>
      </c>
      <c r="AM496" s="20">
        <f t="shared" si="93"/>
        <v>1</v>
      </c>
      <c r="AN496" s="20">
        <f t="shared" si="94"/>
        <v>25000000</v>
      </c>
      <c r="AO496" s="20" t="s">
        <v>5822</v>
      </c>
    </row>
    <row r="497" spans="18:43">
      <c r="R497" s="97" t="s">
        <v>5746</v>
      </c>
      <c r="S497" s="93">
        <v>260081.94096800001</v>
      </c>
      <c r="U497" s="19" t="s">
        <v>6724</v>
      </c>
      <c r="V497" s="19">
        <v>4795</v>
      </c>
      <c r="W497" s="115">
        <v>2908.4025580000002</v>
      </c>
      <c r="X497" s="115">
        <f t="shared" si="74"/>
        <v>13945790.265610002</v>
      </c>
      <c r="Y497" s="259" t="s">
        <v>5335</v>
      </c>
      <c r="AI497" s="20"/>
      <c r="AJ497" s="20"/>
      <c r="AK497" s="115"/>
      <c r="AL497" s="20"/>
      <c r="AM497" s="20">
        <f t="shared" si="93"/>
        <v>0</v>
      </c>
      <c r="AN497" s="20">
        <f t="shared" si="94"/>
        <v>0</v>
      </c>
      <c r="AO497" s="20"/>
    </row>
    <row r="498" spans="18:43">
      <c r="R498" s="97" t="s">
        <v>5747</v>
      </c>
      <c r="S498" s="93">
        <v>2909284.5308940001</v>
      </c>
      <c r="U498" s="19" t="s">
        <v>6726</v>
      </c>
      <c r="V498" s="19">
        <v>164</v>
      </c>
      <c r="W498" s="115">
        <v>2792.1636870000002</v>
      </c>
      <c r="X498" s="115">
        <f t="shared" si="74"/>
        <v>457914.84466800001</v>
      </c>
      <c r="Y498" s="259" t="s">
        <v>5335</v>
      </c>
      <c r="AI498" s="20"/>
      <c r="AJ498" s="20"/>
      <c r="AK498" s="115"/>
      <c r="AL498" s="20"/>
      <c r="AM498" s="20">
        <f t="shared" si="93"/>
        <v>0</v>
      </c>
      <c r="AN498" s="20">
        <f t="shared" si="94"/>
        <v>0</v>
      </c>
      <c r="AO498" s="20"/>
    </row>
    <row r="499" spans="18:43">
      <c r="R499" s="97" t="s">
        <v>5748</v>
      </c>
      <c r="S499" s="93">
        <v>37723205.094084002</v>
      </c>
      <c r="U499" s="19" t="s">
        <v>6728</v>
      </c>
      <c r="V499" s="19">
        <v>352</v>
      </c>
      <c r="W499" s="115">
        <v>2768.6657369999998</v>
      </c>
      <c r="X499" s="115">
        <f t="shared" si="74"/>
        <v>974570.33942399989</v>
      </c>
      <c r="Y499" s="259" t="s">
        <v>5335</v>
      </c>
      <c r="AC499" t="s">
        <v>25</v>
      </c>
      <c r="AI499" s="20"/>
      <c r="AJ499" s="20"/>
      <c r="AK499" s="115"/>
      <c r="AL499" s="20"/>
      <c r="AM499" s="20">
        <f t="shared" si="93"/>
        <v>0</v>
      </c>
      <c r="AN499" s="20">
        <f t="shared" si="94"/>
        <v>0</v>
      </c>
      <c r="AO499" s="20"/>
    </row>
    <row r="500" spans="18:43">
      <c r="R500" s="97" t="s">
        <v>5749</v>
      </c>
      <c r="S500" s="93">
        <v>1500094.75168</v>
      </c>
      <c r="U500" s="19" t="s">
        <v>6730</v>
      </c>
      <c r="V500" s="19">
        <v>283</v>
      </c>
      <c r="W500" s="115">
        <v>2636.7439079999999</v>
      </c>
      <c r="X500" s="115">
        <f t="shared" si="74"/>
        <v>746198.52596400003</v>
      </c>
      <c r="Y500" s="259" t="s">
        <v>5335</v>
      </c>
      <c r="Z500" t="s">
        <v>25</v>
      </c>
      <c r="AI500" s="20"/>
      <c r="AJ500" s="20"/>
      <c r="AK500" s="115"/>
      <c r="AL500" s="20"/>
      <c r="AM500" s="20">
        <f t="shared" si="93"/>
        <v>0</v>
      </c>
      <c r="AN500" s="20">
        <f t="shared" si="94"/>
        <v>0</v>
      </c>
      <c r="AO500" s="20"/>
      <c r="AQ500" t="s">
        <v>25</v>
      </c>
    </row>
    <row r="501" spans="18:43">
      <c r="R501" s="97" t="s">
        <v>5751</v>
      </c>
      <c r="S501" s="93">
        <v>7230628.4378079996</v>
      </c>
      <c r="U501" s="19" t="s">
        <v>6732</v>
      </c>
      <c r="V501" s="19">
        <v>154</v>
      </c>
      <c r="W501" s="115">
        <v>2702</v>
      </c>
      <c r="X501" s="115">
        <f t="shared" si="74"/>
        <v>416108</v>
      </c>
      <c r="Y501" s="259" t="s">
        <v>5335</v>
      </c>
      <c r="Z501" t="s">
        <v>25</v>
      </c>
      <c r="AA501" t="s">
        <v>25</v>
      </c>
      <c r="AC501" t="s">
        <v>25</v>
      </c>
      <c r="AI501" s="20"/>
      <c r="AJ501" s="20"/>
      <c r="AK501" s="115"/>
      <c r="AL501" s="20"/>
      <c r="AM501" s="20">
        <f t="shared" si="93"/>
        <v>0</v>
      </c>
      <c r="AN501" s="20">
        <f t="shared" si="94"/>
        <v>0</v>
      </c>
      <c r="AO501" s="20"/>
    </row>
    <row r="502" spans="18:43">
      <c r="R502" s="97" t="s">
        <v>5752</v>
      </c>
      <c r="S502" s="93">
        <v>29767389.390390001</v>
      </c>
      <c r="U502" s="19" t="s">
        <v>6744</v>
      </c>
      <c r="V502" s="19">
        <v>135</v>
      </c>
      <c r="W502" s="115">
        <v>2678.6709300000002</v>
      </c>
      <c r="X502" s="115">
        <f t="shared" si="74"/>
        <v>361620.57555000001</v>
      </c>
      <c r="Y502" s="259" t="s">
        <v>5335</v>
      </c>
      <c r="AA502" t="s">
        <v>25</v>
      </c>
      <c r="AI502" s="20"/>
      <c r="AJ502" s="20"/>
      <c r="AK502" s="115"/>
      <c r="AL502" s="20"/>
      <c r="AM502" s="20">
        <f t="shared" si="93"/>
        <v>0</v>
      </c>
      <c r="AN502" s="20">
        <f t="shared" si="94"/>
        <v>0</v>
      </c>
      <c r="AO502" s="20"/>
    </row>
    <row r="503" spans="18:43">
      <c r="R503" s="97" t="s">
        <v>5754</v>
      </c>
      <c r="S503" s="93">
        <v>151560.25597</v>
      </c>
      <c r="U503" s="19" t="s">
        <v>6745</v>
      </c>
      <c r="V503" s="19">
        <v>291</v>
      </c>
      <c r="W503" s="115">
        <v>2616.1873500000002</v>
      </c>
      <c r="X503" s="115">
        <f t="shared" si="74"/>
        <v>761310.51884999999</v>
      </c>
      <c r="Y503" s="259" t="s">
        <v>5335</v>
      </c>
      <c r="AA503" t="s">
        <v>25</v>
      </c>
      <c r="AI503" s="97"/>
      <c r="AJ503" s="97"/>
      <c r="AK503" s="115"/>
      <c r="AL503" s="97"/>
      <c r="AM503" s="20">
        <f t="shared" si="93"/>
        <v>0</v>
      </c>
      <c r="AN503" s="20">
        <f t="shared" si="94"/>
        <v>0</v>
      </c>
      <c r="AO503" s="20"/>
    </row>
    <row r="504" spans="18:43">
      <c r="R504" s="97" t="s">
        <v>5757</v>
      </c>
      <c r="S504" s="93">
        <v>481318.88078800001</v>
      </c>
      <c r="U504" s="19" t="s">
        <v>6747</v>
      </c>
      <c r="V504" s="19">
        <v>1194</v>
      </c>
      <c r="W504" s="115">
        <v>2552.0103049999998</v>
      </c>
      <c r="X504" s="115">
        <f t="shared" si="74"/>
        <v>3047100.3041699999</v>
      </c>
      <c r="Y504" s="259" t="s">
        <v>5335</v>
      </c>
      <c r="Z504" t="s">
        <v>25</v>
      </c>
      <c r="AA504" t="s">
        <v>25</v>
      </c>
      <c r="AI504" s="97"/>
      <c r="AJ504" s="97"/>
      <c r="AK504" s="115"/>
      <c r="AL504" s="97"/>
      <c r="AM504" s="20">
        <f>AL504+AM505</f>
        <v>0</v>
      </c>
      <c r="AN504" s="20">
        <f>AK504*AM504</f>
        <v>0</v>
      </c>
      <c r="AO504" s="97"/>
    </row>
    <row r="505" spans="18:43">
      <c r="R505" s="97" t="s">
        <v>5769</v>
      </c>
      <c r="S505" s="93">
        <v>146277.56820000001</v>
      </c>
      <c r="U505" s="19" t="s">
        <v>6749</v>
      </c>
      <c r="V505" s="19">
        <v>928</v>
      </c>
      <c r="W505" s="115">
        <v>2626.1621239999999</v>
      </c>
      <c r="X505" s="115">
        <f t="shared" si="74"/>
        <v>2437078.451072</v>
      </c>
      <c r="Y505" s="259" t="s">
        <v>5335</v>
      </c>
      <c r="AI505" s="97"/>
      <c r="AJ505" s="97"/>
      <c r="AK505" s="93">
        <f>SUM(AK296:AK504)</f>
        <v>131592952.84822798</v>
      </c>
      <c r="AL505" s="97"/>
      <c r="AM505" s="97"/>
      <c r="AN505" s="97">
        <f>SUM(AN296:AN504)</f>
        <v>202627129387</v>
      </c>
      <c r="AO505" s="93">
        <f>AN505*AO282/31</f>
        <v>108941495.66106869</v>
      </c>
    </row>
    <row r="506" spans="18:43">
      <c r="R506" s="97" t="s">
        <v>5772</v>
      </c>
      <c r="S506" s="93">
        <v>424693.40162399999</v>
      </c>
      <c r="U506" s="187" t="s">
        <v>6803</v>
      </c>
      <c r="V506" s="187">
        <v>-15181</v>
      </c>
      <c r="W506" s="186">
        <v>2675.3319820000002</v>
      </c>
      <c r="X506" s="186">
        <f t="shared" si="74"/>
        <v>-40614214.818742</v>
      </c>
      <c r="Y506" s="258" t="s">
        <v>6804</v>
      </c>
      <c r="AB506" t="s">
        <v>25</v>
      </c>
      <c r="AK506" t="s">
        <v>4041</v>
      </c>
      <c r="AN506" t="s">
        <v>284</v>
      </c>
      <c r="AO506" t="s">
        <v>926</v>
      </c>
    </row>
    <row r="507" spans="18:43">
      <c r="R507" s="97" t="s">
        <v>5774</v>
      </c>
      <c r="S507" s="93">
        <v>558320.40202399995</v>
      </c>
      <c r="U507" s="19" t="s">
        <v>6825</v>
      </c>
      <c r="V507" s="19">
        <v>3122</v>
      </c>
      <c r="W507" s="115">
        <v>2481.626972</v>
      </c>
      <c r="X507" s="115">
        <f t="shared" si="74"/>
        <v>7747639.4065840002</v>
      </c>
      <c r="Y507" s="259" t="s">
        <v>5335</v>
      </c>
      <c r="AB507" t="s">
        <v>5523</v>
      </c>
    </row>
    <row r="508" spans="18:43">
      <c r="R508" s="97" t="s">
        <v>5796</v>
      </c>
      <c r="S508" s="93">
        <v>207642.22201140001</v>
      </c>
      <c r="U508" s="19" t="s">
        <v>6826</v>
      </c>
      <c r="V508" s="19">
        <v>2209</v>
      </c>
      <c r="W508" s="115">
        <v>2528.2563839999998</v>
      </c>
      <c r="X508" s="115">
        <f t="shared" si="74"/>
        <v>5584918.3522559991</v>
      </c>
      <c r="Y508" s="259" t="s">
        <v>5335</v>
      </c>
      <c r="Z508" t="s">
        <v>25</v>
      </c>
      <c r="AJ508" t="s">
        <v>4043</v>
      </c>
      <c r="AK508" s="112">
        <f>AK505+AO505</f>
        <v>240534448.50929666</v>
      </c>
      <c r="AN508" t="s">
        <v>25</v>
      </c>
    </row>
    <row r="509" spans="18:43">
      <c r="R509" s="97" t="s">
        <v>5796</v>
      </c>
      <c r="S509" s="93">
        <v>33832510.64875</v>
      </c>
      <c r="U509" s="187" t="s">
        <v>6827</v>
      </c>
      <c r="V509" s="187">
        <v>2977</v>
      </c>
      <c r="W509" s="186">
        <v>2451.5674020000001</v>
      </c>
      <c r="X509" s="186">
        <f t="shared" si="74"/>
        <v>7298316.1557539999</v>
      </c>
      <c r="Y509" s="258" t="s">
        <v>1069</v>
      </c>
      <c r="Z509" t="s">
        <v>25</v>
      </c>
      <c r="AJ509" t="s">
        <v>4046</v>
      </c>
      <c r="AK509" s="112">
        <f>SUM(N31:N41)</f>
        <v>5032534173</v>
      </c>
    </row>
    <row r="510" spans="18:43">
      <c r="R510" s="97" t="s">
        <v>5805</v>
      </c>
      <c r="S510" s="93">
        <v>637977.33504399995</v>
      </c>
      <c r="U510" s="19" t="s">
        <v>6827</v>
      </c>
      <c r="V510" s="19">
        <v>2857</v>
      </c>
      <c r="W510" s="115">
        <v>2451.5674020000001</v>
      </c>
      <c r="X510" s="115">
        <f t="shared" si="74"/>
        <v>7004128.0675140005</v>
      </c>
      <c r="Y510" s="259" t="s">
        <v>743</v>
      </c>
      <c r="AJ510" t="s">
        <v>4116</v>
      </c>
      <c r="AK510" s="112">
        <f>AK509-AK505</f>
        <v>4900941220.1517715</v>
      </c>
    </row>
    <row r="511" spans="18:43">
      <c r="R511" s="97" t="s">
        <v>5806</v>
      </c>
      <c r="S511" s="93">
        <v>466552.25632400002</v>
      </c>
      <c r="U511" s="19" t="s">
        <v>6827</v>
      </c>
      <c r="V511" s="19">
        <v>234</v>
      </c>
      <c r="W511" s="115">
        <v>2451.5674020000001</v>
      </c>
      <c r="X511" s="115">
        <f t="shared" si="74"/>
        <v>573666.77206800005</v>
      </c>
      <c r="Y511" s="259" t="s">
        <v>5095</v>
      </c>
      <c r="Z511" t="s">
        <v>25</v>
      </c>
      <c r="AJ511" t="s">
        <v>926</v>
      </c>
      <c r="AK511" s="112">
        <f>AO505</f>
        <v>108941495.66106869</v>
      </c>
    </row>
    <row r="512" spans="18:43">
      <c r="R512" s="97" t="s">
        <v>5807</v>
      </c>
      <c r="S512" s="93">
        <v>149316.98805000001</v>
      </c>
      <c r="U512" s="19" t="s">
        <v>6832</v>
      </c>
      <c r="V512" s="19">
        <v>751</v>
      </c>
      <c r="W512" s="115">
        <v>2490.0381539999998</v>
      </c>
      <c r="X512" s="115">
        <f t="shared" si="74"/>
        <v>1870018.6536539998</v>
      </c>
      <c r="Y512" s="259" t="s">
        <v>5095</v>
      </c>
      <c r="AA512" t="s">
        <v>25</v>
      </c>
      <c r="AJ512" t="s">
        <v>4047</v>
      </c>
      <c r="AK512" s="112">
        <f>AK510-AK511</f>
        <v>4791999724.4907026</v>
      </c>
      <c r="AN512" t="s">
        <v>25</v>
      </c>
      <c r="AO512" t="s">
        <v>25</v>
      </c>
    </row>
    <row r="513" spans="16:41">
      <c r="R513" s="97" t="s">
        <v>5807</v>
      </c>
      <c r="S513" s="93">
        <v>189134.85153000001</v>
      </c>
      <c r="U513" s="19" t="s">
        <v>6838</v>
      </c>
      <c r="V513" s="19">
        <v>44</v>
      </c>
      <c r="W513" s="115">
        <v>2664.1462569999999</v>
      </c>
      <c r="X513" s="115">
        <f t="shared" si="74"/>
        <v>117222.435308</v>
      </c>
      <c r="Y513" s="259" t="s">
        <v>5095</v>
      </c>
      <c r="AA513" t="s">
        <v>25</v>
      </c>
      <c r="AM513" t="s">
        <v>25</v>
      </c>
      <c r="AN513" t="s">
        <v>25</v>
      </c>
      <c r="AO513" t="s">
        <v>25</v>
      </c>
    </row>
    <row r="514" spans="16:41">
      <c r="R514" s="97" t="s">
        <v>5809</v>
      </c>
      <c r="S514" s="93">
        <v>564888.82799599995</v>
      </c>
      <c r="U514" s="19" t="s">
        <v>6840</v>
      </c>
      <c r="V514" s="19">
        <v>717</v>
      </c>
      <c r="W514" s="115">
        <v>2706.9144700000002</v>
      </c>
      <c r="X514" s="115">
        <f t="shared" si="74"/>
        <v>1940857.6749900002</v>
      </c>
      <c r="Y514" s="259" t="s">
        <v>5095</v>
      </c>
    </row>
    <row r="515" spans="16:41">
      <c r="R515" s="97" t="s">
        <v>5812</v>
      </c>
      <c r="S515" s="93">
        <v>8762299.2047910001</v>
      </c>
      <c r="U515" s="19" t="s">
        <v>6854</v>
      </c>
      <c r="V515" s="19">
        <v>86686</v>
      </c>
      <c r="W515" s="115">
        <v>2307.1718759999999</v>
      </c>
      <c r="X515" s="115">
        <f t="shared" si="74"/>
        <v>199999501.24293599</v>
      </c>
      <c r="Y515" s="418" t="s">
        <v>6857</v>
      </c>
      <c r="Z515" t="s">
        <v>25</v>
      </c>
    </row>
    <row r="516" spans="16:41">
      <c r="R516" s="97" t="s">
        <v>5812</v>
      </c>
      <c r="S516" s="93">
        <v>-341847876.93843603</v>
      </c>
      <c r="U516" s="19" t="s">
        <v>6861</v>
      </c>
      <c r="V516" s="19">
        <v>81</v>
      </c>
      <c r="W516" s="115">
        <v>2411.414808</v>
      </c>
      <c r="X516" s="115">
        <f t="shared" si="74"/>
        <v>195324.59944799999</v>
      </c>
      <c r="Y516" s="259" t="s">
        <v>5095</v>
      </c>
      <c r="AA516" t="s">
        <v>25</v>
      </c>
      <c r="AB516" t="s">
        <v>25</v>
      </c>
      <c r="AO516" t="s">
        <v>25</v>
      </c>
    </row>
    <row r="517" spans="16:41">
      <c r="R517" s="97" t="s">
        <v>5835</v>
      </c>
      <c r="S517" s="93">
        <v>259993.58394100002</v>
      </c>
      <c r="U517" s="19" t="s">
        <v>6861</v>
      </c>
      <c r="V517" s="19">
        <v>8426</v>
      </c>
      <c r="W517" s="115">
        <v>2411.414808</v>
      </c>
      <c r="X517" s="115">
        <f t="shared" si="74"/>
        <v>20318581.172208</v>
      </c>
      <c r="Y517" s="418" t="s">
        <v>6862</v>
      </c>
      <c r="AO517" t="s">
        <v>25</v>
      </c>
    </row>
    <row r="518" spans="16:41">
      <c r="P518" t="s">
        <v>25</v>
      </c>
      <c r="R518" s="97" t="s">
        <v>5836</v>
      </c>
      <c r="S518" s="93">
        <v>269955.31205999997</v>
      </c>
      <c r="U518" s="19" t="s">
        <v>6863</v>
      </c>
      <c r="V518" s="19">
        <v>1242</v>
      </c>
      <c r="W518" s="115">
        <v>2330.0938919999999</v>
      </c>
      <c r="X518" s="115">
        <f t="shared" si="74"/>
        <v>2893976.613864</v>
      </c>
      <c r="Y518" s="259" t="s">
        <v>5095</v>
      </c>
    </row>
    <row r="519" spans="16:41">
      <c r="R519" s="97" t="s">
        <v>6191</v>
      </c>
      <c r="S519" s="93">
        <v>560534.38387200003</v>
      </c>
      <c r="U519" s="19" t="s">
        <v>6864</v>
      </c>
      <c r="V519" s="19">
        <v>149</v>
      </c>
      <c r="W519" s="115">
        <v>2336.750747</v>
      </c>
      <c r="X519" s="115">
        <f t="shared" si="74"/>
        <v>348175.86130300001</v>
      </c>
      <c r="Y519" s="259" t="s">
        <v>5095</v>
      </c>
    </row>
    <row r="520" spans="16:41">
      <c r="R520" s="97" t="s">
        <v>6193</v>
      </c>
      <c r="S520" s="93">
        <v>581484.96802499995</v>
      </c>
      <c r="U520" s="19" t="s">
        <v>6867</v>
      </c>
      <c r="V520" s="19">
        <v>125</v>
      </c>
      <c r="W520" s="115">
        <v>2522.243884</v>
      </c>
      <c r="X520" s="115">
        <f t="shared" si="74"/>
        <v>315280.48550000001</v>
      </c>
      <c r="Y520" s="259" t="s">
        <v>5095</v>
      </c>
    </row>
    <row r="521" spans="16:41" ht="30">
      <c r="R521" s="97" t="s">
        <v>6195</v>
      </c>
      <c r="S521" s="93">
        <v>2136964.3409779998</v>
      </c>
      <c r="U521" s="19" t="s">
        <v>6867</v>
      </c>
      <c r="V521" s="19">
        <v>2429</v>
      </c>
      <c r="W521" s="115">
        <v>2522.243884</v>
      </c>
      <c r="X521" s="115">
        <f t="shared" si="74"/>
        <v>6126530.3942360003</v>
      </c>
      <c r="Y521" s="259" t="s">
        <v>6868</v>
      </c>
    </row>
    <row r="522" spans="16:41">
      <c r="R522" s="97" t="s">
        <v>6198</v>
      </c>
      <c r="S522" s="93">
        <v>593783.22629999998</v>
      </c>
      <c r="U522" s="19" t="s">
        <v>6867</v>
      </c>
      <c r="V522" s="19">
        <v>-2429</v>
      </c>
      <c r="W522" s="115">
        <v>2522.243884</v>
      </c>
      <c r="X522" s="115">
        <f t="shared" si="74"/>
        <v>-6126530.3942360003</v>
      </c>
      <c r="Y522" s="418" t="s">
        <v>6869</v>
      </c>
    </row>
    <row r="523" spans="16:41">
      <c r="R523" s="97" t="s">
        <v>6202</v>
      </c>
      <c r="S523" s="93">
        <v>469469.96222000004</v>
      </c>
      <c r="U523" s="19" t="s">
        <v>6871</v>
      </c>
      <c r="V523" s="19">
        <v>73</v>
      </c>
      <c r="W523" s="115">
        <v>2521.1733559999998</v>
      </c>
      <c r="X523" s="115">
        <f t="shared" si="74"/>
        <v>184045.65498799999</v>
      </c>
      <c r="Y523" s="418" t="s">
        <v>5095</v>
      </c>
      <c r="AA523" t="s">
        <v>25</v>
      </c>
    </row>
    <row r="524" spans="16:41">
      <c r="R524" s="97" t="s">
        <v>6233</v>
      </c>
      <c r="S524" s="93">
        <v>73977944.489465997</v>
      </c>
      <c r="U524" s="19" t="s">
        <v>6890</v>
      </c>
      <c r="V524" s="19">
        <v>1275</v>
      </c>
      <c r="W524" s="115">
        <v>2528.6778709999999</v>
      </c>
      <c r="X524" s="115">
        <f t="shared" si="74"/>
        <v>3224064.2855249997</v>
      </c>
      <c r="Y524" s="418" t="s">
        <v>5095</v>
      </c>
      <c r="AA524" t="s">
        <v>25</v>
      </c>
    </row>
    <row r="525" spans="16:41">
      <c r="R525" s="97" t="s">
        <v>6237</v>
      </c>
      <c r="S525" s="93">
        <v>570166.40976800001</v>
      </c>
      <c r="U525" s="19" t="s">
        <v>6891</v>
      </c>
      <c r="V525" s="19">
        <v>57</v>
      </c>
      <c r="W525" s="115">
        <v>2549.1635460000002</v>
      </c>
      <c r="X525" s="115">
        <f t="shared" si="74"/>
        <v>145302.32212200001</v>
      </c>
      <c r="Y525" s="418" t="s">
        <v>5095</v>
      </c>
      <c r="Z525" t="s">
        <v>25</v>
      </c>
    </row>
    <row r="526" spans="16:41">
      <c r="R526" s="97" t="s">
        <v>6240</v>
      </c>
      <c r="S526" s="93">
        <v>3585319.2317280001</v>
      </c>
      <c r="U526" s="19" t="s">
        <v>6893</v>
      </c>
      <c r="V526" s="19">
        <v>2730</v>
      </c>
      <c r="W526" s="115">
        <v>2631.5477879999999</v>
      </c>
      <c r="X526" s="115">
        <f t="shared" si="74"/>
        <v>7184125.4612399992</v>
      </c>
      <c r="Y526" s="418" t="s">
        <v>5095</v>
      </c>
    </row>
    <row r="527" spans="16:41">
      <c r="R527" s="97" t="s">
        <v>6243</v>
      </c>
      <c r="S527" s="93">
        <v>676700.69889600005</v>
      </c>
      <c r="U527" s="19" t="s">
        <v>6895</v>
      </c>
      <c r="V527" s="19">
        <v>3150</v>
      </c>
      <c r="W527" s="115">
        <v>2622.3760240000001</v>
      </c>
      <c r="X527" s="115">
        <f t="shared" si="74"/>
        <v>8260484.4756000005</v>
      </c>
      <c r="Y527" s="418" t="s">
        <v>5095</v>
      </c>
      <c r="Z527" t="s">
        <v>25</v>
      </c>
      <c r="AA527" t="s">
        <v>25</v>
      </c>
    </row>
    <row r="528" spans="16:41">
      <c r="R528" s="97" t="s">
        <v>6251</v>
      </c>
      <c r="S528" s="93">
        <v>1105777.5430340001</v>
      </c>
      <c r="U528" s="19" t="s">
        <v>6896</v>
      </c>
      <c r="V528" s="19">
        <v>1044</v>
      </c>
      <c r="W528" s="115">
        <v>2673.5657609999998</v>
      </c>
      <c r="X528" s="115">
        <f t="shared" si="74"/>
        <v>2791202.6544840001</v>
      </c>
      <c r="Y528" s="418" t="s">
        <v>5095</v>
      </c>
    </row>
    <row r="529" spans="15:28">
      <c r="O529" s="112"/>
      <c r="R529" s="97" t="s">
        <v>6254</v>
      </c>
      <c r="S529" s="93">
        <v>2315234.8602510002</v>
      </c>
      <c r="U529" s="19" t="s">
        <v>6897</v>
      </c>
      <c r="V529" s="19">
        <v>90</v>
      </c>
      <c r="W529" s="115">
        <v>2757.13409</v>
      </c>
      <c r="X529" s="115">
        <f t="shared" si="74"/>
        <v>248142.0681</v>
      </c>
      <c r="Y529" s="418" t="s">
        <v>5095</v>
      </c>
      <c r="Z529" t="s">
        <v>25</v>
      </c>
    </row>
    <row r="530" spans="15:28">
      <c r="R530" s="97" t="s">
        <v>6255</v>
      </c>
      <c r="S530" s="93">
        <v>4136360.6541840001</v>
      </c>
      <c r="U530" s="187" t="s">
        <v>6922</v>
      </c>
      <c r="V530" s="187">
        <v>-20619</v>
      </c>
      <c r="W530" s="186">
        <v>2901.357</v>
      </c>
      <c r="X530" s="186">
        <f t="shared" si="74"/>
        <v>-59823079.983000003</v>
      </c>
      <c r="Y530" s="465" t="s">
        <v>5820</v>
      </c>
      <c r="Z530" t="s">
        <v>25</v>
      </c>
    </row>
    <row r="531" spans="15:28">
      <c r="R531" s="97" t="s">
        <v>6257</v>
      </c>
      <c r="S531" s="93">
        <v>3035714.4702960001</v>
      </c>
      <c r="U531" s="187" t="s">
        <v>6922</v>
      </c>
      <c r="V531" s="187">
        <v>-6894</v>
      </c>
      <c r="W531" s="186">
        <v>2901.357</v>
      </c>
      <c r="X531" s="186">
        <f t="shared" si="74"/>
        <v>-20001955.158</v>
      </c>
      <c r="Y531" s="465" t="s">
        <v>6923</v>
      </c>
    </row>
    <row r="532" spans="15:28">
      <c r="R532" s="97" t="s">
        <v>6264</v>
      </c>
      <c r="S532" s="93">
        <v>-179906186.46823201</v>
      </c>
      <c r="U532" s="19" t="s">
        <v>6922</v>
      </c>
      <c r="V532" s="19">
        <v>6894</v>
      </c>
      <c r="W532" s="115">
        <v>2901.357</v>
      </c>
      <c r="X532" s="115">
        <f t="shared" si="74"/>
        <v>20001955.158</v>
      </c>
      <c r="Y532" s="418" t="s">
        <v>6925</v>
      </c>
      <c r="AA532" t="s">
        <v>25</v>
      </c>
    </row>
    <row r="533" spans="15:28">
      <c r="R533" s="97" t="s">
        <v>6268</v>
      </c>
      <c r="S533" s="93">
        <v>345069.28943499998</v>
      </c>
      <c r="U533" s="19" t="s">
        <v>6922</v>
      </c>
      <c r="V533" s="19">
        <v>-193841</v>
      </c>
      <c r="W533" s="115">
        <v>2901.357</v>
      </c>
      <c r="X533" s="115">
        <f t="shared" si="74"/>
        <v>-562401942.23699999</v>
      </c>
      <c r="Y533" s="418" t="s">
        <v>5402</v>
      </c>
      <c r="Z533" t="s">
        <v>25</v>
      </c>
    </row>
    <row r="534" spans="15:28">
      <c r="R534" s="97" t="s">
        <v>6359</v>
      </c>
      <c r="S534" s="93">
        <v>567785.37859199999</v>
      </c>
      <c r="U534" s="19" t="s">
        <v>6922</v>
      </c>
      <c r="V534" s="19">
        <v>-155192</v>
      </c>
      <c r="W534" s="115">
        <v>2901.357</v>
      </c>
      <c r="X534" s="115">
        <f t="shared" si="74"/>
        <v>-450267395.54399997</v>
      </c>
      <c r="Y534" s="418" t="s">
        <v>5821</v>
      </c>
    </row>
    <row r="535" spans="15:28">
      <c r="R535" s="97" t="s">
        <v>6370</v>
      </c>
      <c r="S535" s="93">
        <v>189683.91675</v>
      </c>
      <c r="U535" s="19" t="s">
        <v>6922</v>
      </c>
      <c r="V535" s="19">
        <v>172</v>
      </c>
      <c r="W535" s="115">
        <v>2901.357</v>
      </c>
      <c r="X535" s="115">
        <f t="shared" si="74"/>
        <v>499033.40399999998</v>
      </c>
      <c r="Y535" s="418" t="s">
        <v>5808</v>
      </c>
    </row>
    <row r="536" spans="15:28">
      <c r="R536" s="97" t="s">
        <v>6371</v>
      </c>
      <c r="S536" s="93">
        <v>10000000</v>
      </c>
      <c r="U536" s="19" t="s">
        <v>6922</v>
      </c>
      <c r="V536" s="19">
        <v>1163</v>
      </c>
      <c r="W536" s="115">
        <v>2901.357</v>
      </c>
      <c r="X536" s="115">
        <f t="shared" si="74"/>
        <v>3374278.1910000001</v>
      </c>
      <c r="Y536" s="418" t="s">
        <v>5095</v>
      </c>
    </row>
    <row r="537" spans="15:28">
      <c r="R537" s="97" t="s">
        <v>6371</v>
      </c>
      <c r="S537" s="93">
        <v>519135.75707200001</v>
      </c>
      <c r="U537" s="19" t="s">
        <v>6930</v>
      </c>
      <c r="V537" s="19">
        <v>17233</v>
      </c>
      <c r="W537" s="115">
        <v>2901.357</v>
      </c>
      <c r="X537" s="115">
        <f t="shared" si="74"/>
        <v>49999085.181000002</v>
      </c>
      <c r="Y537" s="418" t="s">
        <v>6931</v>
      </c>
    </row>
    <row r="538" spans="15:28">
      <c r="R538" s="97" t="s">
        <v>6377</v>
      </c>
      <c r="S538" s="93">
        <v>3406413.9029760002</v>
      </c>
      <c r="U538" s="19" t="s">
        <v>6930</v>
      </c>
      <c r="V538" s="19">
        <v>10340</v>
      </c>
      <c r="W538" s="115">
        <v>2901.357</v>
      </c>
      <c r="X538" s="115">
        <f t="shared" si="74"/>
        <v>30000031.379999999</v>
      </c>
      <c r="Y538" s="418" t="s">
        <v>5808</v>
      </c>
      <c r="AA538" t="s">
        <v>25</v>
      </c>
    </row>
    <row r="539" spans="15:28">
      <c r="R539" s="97" t="s">
        <v>6379</v>
      </c>
      <c r="S539" s="93">
        <v>435036.348168</v>
      </c>
      <c r="U539" s="19" t="s">
        <v>6937</v>
      </c>
      <c r="V539" s="19">
        <v>17234</v>
      </c>
      <c r="W539" s="115">
        <v>2901.357</v>
      </c>
      <c r="X539" s="115">
        <f t="shared" si="74"/>
        <v>50001986.538000003</v>
      </c>
      <c r="Y539" s="418" t="s">
        <v>6931</v>
      </c>
      <c r="AA539" t="s">
        <v>25</v>
      </c>
    </row>
    <row r="540" spans="15:28">
      <c r="R540" s="97" t="s">
        <v>6410</v>
      </c>
      <c r="S540" s="93">
        <v>2321535.4633200001</v>
      </c>
      <c r="U540" s="19" t="s">
        <v>6938</v>
      </c>
      <c r="V540" s="19">
        <v>17234</v>
      </c>
      <c r="W540" s="115">
        <v>2901.357</v>
      </c>
      <c r="X540" s="115">
        <f t="shared" si="74"/>
        <v>50001986.538000003</v>
      </c>
      <c r="Y540" s="418" t="s">
        <v>6931</v>
      </c>
      <c r="AA540" t="s">
        <v>25</v>
      </c>
    </row>
    <row r="541" spans="15:28">
      <c r="R541" s="97" t="s">
        <v>6691</v>
      </c>
      <c r="S541" s="93">
        <v>1098146.8035800001</v>
      </c>
      <c r="U541" s="19" t="s">
        <v>6938</v>
      </c>
      <c r="V541" s="19">
        <v>17234</v>
      </c>
      <c r="W541" s="115">
        <v>2901.357</v>
      </c>
      <c r="X541" s="115">
        <f t="shared" si="74"/>
        <v>50001986.538000003</v>
      </c>
      <c r="Y541" s="418" t="s">
        <v>6944</v>
      </c>
      <c r="AB541" t="s">
        <v>25</v>
      </c>
    </row>
    <row r="542" spans="15:28">
      <c r="R542" s="97" t="s">
        <v>6696</v>
      </c>
      <c r="S542" s="93">
        <v>540424.560405</v>
      </c>
      <c r="U542" s="19" t="s">
        <v>6939</v>
      </c>
      <c r="V542" s="19">
        <v>17233</v>
      </c>
      <c r="W542" s="115">
        <v>2901.357</v>
      </c>
      <c r="X542" s="115">
        <f t="shared" si="74"/>
        <v>49999085.181000002</v>
      </c>
      <c r="Y542" s="418" t="s">
        <v>6931</v>
      </c>
      <c r="AA542" t="s">
        <v>25</v>
      </c>
    </row>
    <row r="543" spans="15:28">
      <c r="R543" s="97" t="s">
        <v>6697</v>
      </c>
      <c r="S543" s="93">
        <v>2781712.2405709997</v>
      </c>
      <c r="U543" s="19" t="s">
        <v>6940</v>
      </c>
      <c r="V543" s="19">
        <v>34467</v>
      </c>
      <c r="W543" s="115">
        <v>2901.357</v>
      </c>
      <c r="X543" s="115">
        <f t="shared" si="74"/>
        <v>100001071.719</v>
      </c>
      <c r="Y543" s="418" t="s">
        <v>6931</v>
      </c>
    </row>
    <row r="544" spans="15:28">
      <c r="R544" s="97" t="s">
        <v>6700</v>
      </c>
      <c r="S544" s="93">
        <v>159680.86334900002</v>
      </c>
      <c r="U544" s="19" t="s">
        <v>6943</v>
      </c>
      <c r="V544" s="19">
        <v>17233</v>
      </c>
      <c r="W544" s="115">
        <v>2901.357</v>
      </c>
      <c r="X544" s="115">
        <f t="shared" si="74"/>
        <v>49999085.181000002</v>
      </c>
      <c r="Y544" s="418" t="s">
        <v>6931</v>
      </c>
    </row>
    <row r="545" spans="18:28">
      <c r="R545" s="97" t="s">
        <v>6724</v>
      </c>
      <c r="S545" s="93">
        <v>13945790.265610002</v>
      </c>
      <c r="U545" s="19" t="s">
        <v>6945</v>
      </c>
      <c r="V545" s="19">
        <v>928</v>
      </c>
      <c r="W545" s="115">
        <v>2820</v>
      </c>
      <c r="X545" s="115">
        <f t="shared" si="74"/>
        <v>2616960</v>
      </c>
      <c r="Y545" s="418" t="s">
        <v>5095</v>
      </c>
    </row>
    <row r="546" spans="18:28">
      <c r="R546" s="97" t="s">
        <v>6726</v>
      </c>
      <c r="S546" s="93">
        <v>457914.84466800001</v>
      </c>
      <c r="U546" s="19" t="s">
        <v>6945</v>
      </c>
      <c r="V546" s="19">
        <v>-3980</v>
      </c>
      <c r="W546" s="115">
        <v>2838.81</v>
      </c>
      <c r="X546" s="115">
        <f t="shared" si="74"/>
        <v>-11298463.799999999</v>
      </c>
      <c r="Y546" s="418" t="s">
        <v>6946</v>
      </c>
    </row>
    <row r="547" spans="18:28">
      <c r="R547" s="97" t="s">
        <v>6728</v>
      </c>
      <c r="S547" s="93">
        <v>974570.33942399989</v>
      </c>
      <c r="U547" s="19" t="s">
        <v>6945</v>
      </c>
      <c r="V547" s="19">
        <v>3980</v>
      </c>
      <c r="W547" s="115">
        <v>2838.81</v>
      </c>
      <c r="X547" s="115">
        <f t="shared" si="74"/>
        <v>11298463.799999999</v>
      </c>
      <c r="Y547" s="418" t="s">
        <v>6947</v>
      </c>
      <c r="AB547" t="s">
        <v>25</v>
      </c>
    </row>
    <row r="548" spans="18:28">
      <c r="R548" s="97" t="s">
        <v>6730</v>
      </c>
      <c r="S548" s="93">
        <v>746198.52596400003</v>
      </c>
      <c r="U548" s="19" t="s">
        <v>6945</v>
      </c>
      <c r="V548" s="19">
        <v>23077</v>
      </c>
      <c r="W548" s="115">
        <v>2838.81</v>
      </c>
      <c r="X548" s="115">
        <f t="shared" ref="X548:X558" si="95">V548*W548</f>
        <v>65511218.369999997</v>
      </c>
      <c r="Y548" s="418" t="s">
        <v>6948</v>
      </c>
    </row>
    <row r="549" spans="18:28">
      <c r="R549" s="97" t="s">
        <v>6732</v>
      </c>
      <c r="S549" s="93">
        <v>416108</v>
      </c>
      <c r="U549" s="19" t="s">
        <v>6949</v>
      </c>
      <c r="V549" s="19">
        <v>8806</v>
      </c>
      <c r="W549" s="115">
        <v>2838.81</v>
      </c>
      <c r="X549" s="115">
        <f t="shared" si="95"/>
        <v>24998560.859999999</v>
      </c>
      <c r="Y549" s="418" t="s">
        <v>6948</v>
      </c>
      <c r="AA549" t="s">
        <v>25</v>
      </c>
    </row>
    <row r="550" spans="18:28">
      <c r="R550" s="97" t="s">
        <v>6744</v>
      </c>
      <c r="S550" s="93">
        <v>361620.57555000001</v>
      </c>
      <c r="U550" s="19" t="s">
        <v>6952</v>
      </c>
      <c r="V550" s="19">
        <v>88</v>
      </c>
      <c r="W550" s="115">
        <v>2881.3336610000001</v>
      </c>
      <c r="X550" s="115">
        <f t="shared" si="95"/>
        <v>253557.36216800002</v>
      </c>
      <c r="Y550" s="418" t="s">
        <v>5095</v>
      </c>
      <c r="AB550" t="s">
        <v>25</v>
      </c>
    </row>
    <row r="551" spans="18:28">
      <c r="R551" s="97" t="s">
        <v>6745</v>
      </c>
      <c r="S551" s="93">
        <v>761310.51884999999</v>
      </c>
      <c r="U551" s="19" t="s">
        <v>6952</v>
      </c>
      <c r="V551" s="19">
        <v>4729</v>
      </c>
      <c r="W551" s="115">
        <v>2881.3336610000001</v>
      </c>
      <c r="X551" s="115">
        <f t="shared" si="95"/>
        <v>13625826.882869001</v>
      </c>
      <c r="Y551" s="418" t="s">
        <v>6954</v>
      </c>
      <c r="AB551" t="s">
        <v>25</v>
      </c>
    </row>
    <row r="552" spans="18:28">
      <c r="R552" s="97" t="s">
        <v>6747</v>
      </c>
      <c r="S552" s="93">
        <v>3047100.3041699999</v>
      </c>
      <c r="U552" s="19" t="s">
        <v>6955</v>
      </c>
      <c r="V552" s="19">
        <v>322</v>
      </c>
      <c r="W552" s="115">
        <v>2898.1177969999999</v>
      </c>
      <c r="X552" s="115">
        <f t="shared" si="95"/>
        <v>933193.93063399999</v>
      </c>
      <c r="Y552" s="418" t="s">
        <v>5095</v>
      </c>
    </row>
    <row r="553" spans="18:28">
      <c r="R553" s="97" t="s">
        <v>6749</v>
      </c>
      <c r="S553" s="93">
        <v>2437078.451072</v>
      </c>
      <c r="U553" s="19" t="s">
        <v>6963</v>
      </c>
      <c r="V553" s="19">
        <v>387</v>
      </c>
      <c r="W553" s="115">
        <v>3079.346732</v>
      </c>
      <c r="X553" s="115">
        <f t="shared" si="95"/>
        <v>1191707.1852839999</v>
      </c>
      <c r="Y553" s="418" t="s">
        <v>5095</v>
      </c>
    </row>
    <row r="554" spans="18:28">
      <c r="R554" s="97" t="s">
        <v>6825</v>
      </c>
      <c r="S554" s="93">
        <v>7747639.4065840002</v>
      </c>
      <c r="U554" s="19" t="s">
        <v>6966</v>
      </c>
      <c r="V554" s="19">
        <v>807</v>
      </c>
      <c r="W554" s="115">
        <v>3145.9883460000001</v>
      </c>
      <c r="X554" s="115">
        <f t="shared" si="95"/>
        <v>2538812.595222</v>
      </c>
      <c r="Y554" s="418" t="s">
        <v>5095</v>
      </c>
      <c r="Z554" t="s">
        <v>25</v>
      </c>
    </row>
    <row r="555" spans="18:28">
      <c r="R555" s="97" t="s">
        <v>6826</v>
      </c>
      <c r="S555" s="93">
        <v>5584918.3522559991</v>
      </c>
      <c r="U555" s="187" t="s">
        <v>6975</v>
      </c>
      <c r="V555" s="187">
        <v>-5039</v>
      </c>
      <c r="W555" s="186">
        <v>3008.7638149999998</v>
      </c>
      <c r="X555" s="186">
        <f t="shared" si="95"/>
        <v>-15161160.863784999</v>
      </c>
      <c r="Y555" s="465" t="s">
        <v>6976</v>
      </c>
    </row>
    <row r="556" spans="18:28">
      <c r="R556" s="97" t="s">
        <v>6827</v>
      </c>
      <c r="S556" s="93">
        <v>573666.77206800005</v>
      </c>
      <c r="U556" s="19" t="s">
        <v>6975</v>
      </c>
      <c r="V556" s="19">
        <v>666</v>
      </c>
      <c r="W556" s="115">
        <v>3028.3040940000001</v>
      </c>
      <c r="X556" s="115">
        <f t="shared" si="95"/>
        <v>2016850.526604</v>
      </c>
      <c r="Y556" s="418" t="s">
        <v>5095</v>
      </c>
    </row>
    <row r="557" spans="18:28">
      <c r="R557" s="97" t="s">
        <v>6832</v>
      </c>
      <c r="S557" s="93">
        <v>1870018.6536539998</v>
      </c>
      <c r="U557" s="19" t="s">
        <v>6980</v>
      </c>
      <c r="V557" s="19">
        <v>44</v>
      </c>
      <c r="W557" s="115">
        <v>2971.6949030000001</v>
      </c>
      <c r="X557" s="115">
        <f t="shared" si="95"/>
        <v>130754.575732</v>
      </c>
      <c r="Y557" s="418" t="s">
        <v>5095</v>
      </c>
    </row>
    <row r="558" spans="18:28">
      <c r="R558" s="97" t="s">
        <v>6838</v>
      </c>
      <c r="S558" s="93">
        <v>117222.435308</v>
      </c>
      <c r="U558" s="19" t="s">
        <v>6983</v>
      </c>
      <c r="V558" s="19">
        <v>52</v>
      </c>
      <c r="W558" s="115">
        <v>2956.8541150000001</v>
      </c>
      <c r="X558" s="115">
        <f t="shared" si="95"/>
        <v>153756.41398000001</v>
      </c>
      <c r="Y558" s="418" t="s">
        <v>5095</v>
      </c>
    </row>
    <row r="559" spans="18:28">
      <c r="R559" s="97" t="s">
        <v>6840</v>
      </c>
      <c r="S559" s="93">
        <v>1940857.6749900002</v>
      </c>
      <c r="U559" s="19"/>
      <c r="V559" s="19"/>
      <c r="W559" s="115"/>
      <c r="X559" s="115"/>
      <c r="Y559" s="418"/>
    </row>
    <row r="560" spans="18:28">
      <c r="R560" s="97" t="s">
        <v>6854</v>
      </c>
      <c r="S560" s="93">
        <v>200000000</v>
      </c>
      <c r="U560" s="19"/>
      <c r="V560" s="19"/>
      <c r="W560" s="115"/>
      <c r="X560" s="115">
        <f t="shared" si="74"/>
        <v>0</v>
      </c>
      <c r="Y560" s="259"/>
      <c r="AB560" t="s">
        <v>25</v>
      </c>
    </row>
    <row r="561" spans="18:27">
      <c r="R561" s="97" t="s">
        <v>6861</v>
      </c>
      <c r="S561" s="93">
        <v>195324.59944799999</v>
      </c>
      <c r="U561" s="97"/>
      <c r="V561" s="166"/>
      <c r="W561" s="111"/>
      <c r="X561" s="115">
        <f t="shared" si="74"/>
        <v>0</v>
      </c>
      <c r="Y561" s="97"/>
    </row>
    <row r="562" spans="18:27">
      <c r="R562" s="97" t="s">
        <v>6861</v>
      </c>
      <c r="S562" s="93">
        <v>20318581.172208</v>
      </c>
      <c r="U562" s="166"/>
      <c r="V562" s="166">
        <f>SUM(V154:V561)</f>
        <v>4242407</v>
      </c>
      <c r="W562" s="97"/>
      <c r="X562" s="97"/>
      <c r="Y562" s="97"/>
    </row>
    <row r="563" spans="18:27">
      <c r="R563" s="97" t="s">
        <v>6863</v>
      </c>
      <c r="S563" s="93">
        <v>2893976.613864</v>
      </c>
      <c r="U563" s="97"/>
      <c r="V563" s="97" t="s">
        <v>6</v>
      </c>
      <c r="W563" s="97"/>
      <c r="X563" s="97"/>
      <c r="Y563" s="97"/>
    </row>
    <row r="564" spans="18:27">
      <c r="R564" s="97" t="s">
        <v>6864</v>
      </c>
      <c r="S564" s="93">
        <v>348175.86130300001</v>
      </c>
      <c r="U564" s="196" t="s">
        <v>4432</v>
      </c>
      <c r="AA564" t="s">
        <v>25</v>
      </c>
    </row>
    <row r="565" spans="18:27">
      <c r="R565" s="97" t="s">
        <v>6867</v>
      </c>
      <c r="S565" s="93">
        <v>315280.48550000001</v>
      </c>
      <c r="U565" s="195">
        <f>S170/V562</f>
        <v>2985.1460109791446</v>
      </c>
      <c r="Y565" t="s">
        <v>25</v>
      </c>
    </row>
    <row r="566" spans="18:27">
      <c r="R566" s="97" t="s">
        <v>6867</v>
      </c>
      <c r="S566" s="93">
        <v>6128000</v>
      </c>
      <c r="X566" s="112"/>
    </row>
    <row r="567" spans="18:27">
      <c r="R567" s="97" t="s">
        <v>6871</v>
      </c>
      <c r="S567" s="93">
        <v>184045.65498799999</v>
      </c>
      <c r="T567" t="s">
        <v>25</v>
      </c>
      <c r="V567" s="94" t="s">
        <v>267</v>
      </c>
      <c r="W567" t="s">
        <v>4433</v>
      </c>
      <c r="Y567" t="s">
        <v>25</v>
      </c>
    </row>
    <row r="568" spans="18:27">
      <c r="R568" s="97" t="s">
        <v>6890</v>
      </c>
      <c r="S568" s="93">
        <v>3224064.2855249997</v>
      </c>
      <c r="U568" s="112"/>
      <c r="V568" s="93">
        <v>-154047</v>
      </c>
      <c r="W568">
        <f>V568/U565</f>
        <v>-51.604510946341186</v>
      </c>
      <c r="Y568" t="s">
        <v>25</v>
      </c>
    </row>
    <row r="569" spans="18:27">
      <c r="R569" s="97" t="s">
        <v>6891</v>
      </c>
      <c r="S569" s="93">
        <v>145302.32212200001</v>
      </c>
      <c r="U569" t="s">
        <v>25</v>
      </c>
      <c r="Y569" t="s">
        <v>25</v>
      </c>
    </row>
    <row r="570" spans="18:27">
      <c r="R570" s="97" t="s">
        <v>6893</v>
      </c>
      <c r="S570" s="93">
        <v>7184125.4612399992</v>
      </c>
      <c r="U570" t="s">
        <v>25</v>
      </c>
      <c r="V570" s="94" t="s">
        <v>25</v>
      </c>
      <c r="W570" s="22"/>
      <c r="X570" s="212"/>
      <c r="Y570" s="268" t="s">
        <v>25</v>
      </c>
    </row>
    <row r="571" spans="18:27">
      <c r="R571" s="97" t="s">
        <v>6895</v>
      </c>
      <c r="S571" s="93">
        <v>8260484.4756000005</v>
      </c>
      <c r="W571" t="s">
        <v>25</v>
      </c>
      <c r="X571" s="94" t="s">
        <v>25</v>
      </c>
      <c r="Y571" t="s">
        <v>25</v>
      </c>
    </row>
    <row r="572" spans="18:27">
      <c r="R572" s="97" t="s">
        <v>6896</v>
      </c>
      <c r="S572" s="93">
        <v>2791202.6544840001</v>
      </c>
      <c r="U572" t="s">
        <v>25</v>
      </c>
      <c r="X572" s="112"/>
      <c r="Y572" s="112"/>
    </row>
    <row r="573" spans="18:27">
      <c r="R573" s="97" t="s">
        <v>6897</v>
      </c>
      <c r="S573" s="93">
        <v>248142.0681</v>
      </c>
      <c r="U573" s="22"/>
      <c r="W573" s="212"/>
    </row>
    <row r="574" spans="18:27">
      <c r="R574" s="97" t="s">
        <v>6922</v>
      </c>
      <c r="S574" s="93">
        <v>20001955</v>
      </c>
      <c r="T574" t="s">
        <v>25</v>
      </c>
      <c r="U574" s="22"/>
      <c r="X574" s="268"/>
    </row>
    <row r="575" spans="18:27">
      <c r="R575" s="97" t="s">
        <v>6922</v>
      </c>
      <c r="S575" s="93">
        <v>-562401942</v>
      </c>
    </row>
    <row r="576" spans="18:27">
      <c r="R576" s="97" t="s">
        <v>6922</v>
      </c>
      <c r="S576" s="93">
        <v>499033.40399999998</v>
      </c>
    </row>
    <row r="577" spans="18:25">
      <c r="R577" s="97" t="s">
        <v>6922</v>
      </c>
      <c r="S577" s="93">
        <v>3374278.1910000001</v>
      </c>
      <c r="U577" s="97" t="s">
        <v>4434</v>
      </c>
      <c r="V577" s="97" t="s">
        <v>4415</v>
      </c>
      <c r="W577" s="97" t="s">
        <v>936</v>
      </c>
      <c r="X577" s="357"/>
    </row>
    <row r="578" spans="18:25">
      <c r="R578" s="97" t="s">
        <v>6930</v>
      </c>
      <c r="S578" s="93">
        <v>30000000</v>
      </c>
      <c r="U578" s="93">
        <f>T229+S309+S594</f>
        <v>2099792711.1767776</v>
      </c>
      <c r="V578" s="93">
        <f>S170</f>
        <v>12664204333</v>
      </c>
      <c r="W578" s="93">
        <f>V578-U578</f>
        <v>10564411621.823223</v>
      </c>
    </row>
    <row r="579" spans="18:25">
      <c r="R579" s="97" t="s">
        <v>6938</v>
      </c>
      <c r="S579" s="93">
        <v>50000000</v>
      </c>
      <c r="X579" s="94" t="s">
        <v>25</v>
      </c>
    </row>
    <row r="580" spans="18:25">
      <c r="R580" s="97" t="s">
        <v>6945</v>
      </c>
      <c r="S580" s="93">
        <v>2616960</v>
      </c>
      <c r="W580">
        <v>193</v>
      </c>
    </row>
    <row r="581" spans="18:25">
      <c r="R581" s="97" t="s">
        <v>6952</v>
      </c>
      <c r="S581" s="93">
        <v>253557.36216800002</v>
      </c>
      <c r="U581" s="94" t="s">
        <v>5403</v>
      </c>
      <c r="V581" s="120">
        <v>353427</v>
      </c>
      <c r="W581" s="112">
        <f>V581*$W$580</f>
        <v>68211411</v>
      </c>
    </row>
    <row r="582" spans="18:25">
      <c r="R582" s="97" t="s">
        <v>6952</v>
      </c>
      <c r="S582" s="93">
        <v>13625826.882869001</v>
      </c>
      <c r="U582" t="s">
        <v>6884</v>
      </c>
      <c r="V582">
        <v>2333000</v>
      </c>
      <c r="W582" s="112">
        <f>V582*$W$580</f>
        <v>450269000</v>
      </c>
    </row>
    <row r="583" spans="18:25">
      <c r="R583" s="97" t="s">
        <v>6955</v>
      </c>
      <c r="S583" s="93">
        <v>933193.93063399999</v>
      </c>
      <c r="U583" s="466" t="s">
        <v>1069</v>
      </c>
      <c r="V583" s="467">
        <v>309975</v>
      </c>
      <c r="W583" s="468">
        <f>V583*$W$580</f>
        <v>59825175</v>
      </c>
    </row>
    <row r="584" spans="18:25">
      <c r="R584" s="97" t="s">
        <v>6963</v>
      </c>
      <c r="S584" s="115">
        <v>1191707.1852839999</v>
      </c>
      <c r="U584" t="s">
        <v>452</v>
      </c>
      <c r="V584" s="113">
        <v>2914000</v>
      </c>
      <c r="W584" s="112">
        <f>V584*$W$580</f>
        <v>562402000</v>
      </c>
    </row>
    <row r="585" spans="18:25">
      <c r="R585" s="97" t="s">
        <v>6966</v>
      </c>
      <c r="S585" s="93">
        <v>2538812.595222</v>
      </c>
      <c r="U585" s="112" t="s">
        <v>25</v>
      </c>
    </row>
    <row r="586" spans="18:25">
      <c r="R586" s="97" t="s">
        <v>6975</v>
      </c>
      <c r="S586" s="93">
        <v>2016850.526604</v>
      </c>
      <c r="U586" t="s">
        <v>25</v>
      </c>
    </row>
    <row r="587" spans="18:25">
      <c r="R587" s="97" t="s">
        <v>6980</v>
      </c>
      <c r="S587" s="93">
        <v>130754.575732</v>
      </c>
      <c r="U587" t="s">
        <v>25</v>
      </c>
      <c r="W587" t="s">
        <v>25</v>
      </c>
      <c r="Y587" s="112"/>
    </row>
    <row r="588" spans="18:25">
      <c r="R588" s="97" t="s">
        <v>6983</v>
      </c>
      <c r="S588" s="93">
        <v>153756.41398000001</v>
      </c>
      <c r="X588" s="94" t="s">
        <v>25</v>
      </c>
    </row>
    <row r="589" spans="18:25">
      <c r="R589" s="97"/>
      <c r="S589" s="93"/>
      <c r="U589" t="s">
        <v>25</v>
      </c>
    </row>
    <row r="590" spans="18:25">
      <c r="R590" s="97"/>
      <c r="S590" s="93"/>
      <c r="U590" t="s">
        <v>25</v>
      </c>
    </row>
    <row r="591" spans="18:25">
      <c r="R591" s="97"/>
      <c r="S591" s="93"/>
      <c r="T591" t="s">
        <v>25</v>
      </c>
      <c r="U591" s="357" t="s">
        <v>25</v>
      </c>
      <c r="V591" s="357"/>
      <c r="W591" s="357"/>
    </row>
    <row r="592" spans="18:25">
      <c r="R592" s="97"/>
      <c r="S592" s="93"/>
      <c r="U592" s="357" t="s">
        <v>25</v>
      </c>
      <c r="V592" s="357"/>
      <c r="W592" s="357"/>
      <c r="X592" s="94" t="s">
        <v>25</v>
      </c>
    </row>
    <row r="593" spans="18:25">
      <c r="R593" s="97" t="s">
        <v>25</v>
      </c>
      <c r="S593" s="97" t="s">
        <v>25</v>
      </c>
      <c r="U593" s="357"/>
      <c r="V593" s="357"/>
      <c r="W593" s="357"/>
      <c r="Y593" t="s">
        <v>25</v>
      </c>
    </row>
    <row r="594" spans="18:25">
      <c r="R594" s="97"/>
      <c r="S594" s="93">
        <f>SUM(S314:S593)</f>
        <v>1924585166.6115146</v>
      </c>
      <c r="U594" s="357"/>
      <c r="V594" s="357"/>
      <c r="W594" s="357" t="s">
        <v>25</v>
      </c>
    </row>
    <row r="595" spans="18:25">
      <c r="S595" s="97" t="s">
        <v>6</v>
      </c>
      <c r="U595" s="357"/>
      <c r="V595" s="357"/>
      <c r="W595" s="357"/>
    </row>
    <row r="596" spans="18:25">
      <c r="T596" t="s">
        <v>25</v>
      </c>
      <c r="U596" s="357" t="s">
        <v>25</v>
      </c>
      <c r="V596" s="357" t="s">
        <v>25</v>
      </c>
      <c r="W596" s="357"/>
    </row>
    <row r="597" spans="18:25">
      <c r="R597" t="s">
        <v>25</v>
      </c>
      <c r="U597" s="357"/>
      <c r="V597" s="357"/>
      <c r="W597" s="357"/>
    </row>
    <row r="598" spans="18:25">
      <c r="R598" t="s">
        <v>25</v>
      </c>
      <c r="U598" s="357"/>
      <c r="V598" s="357"/>
      <c r="W598" s="357"/>
    </row>
    <row r="599" spans="18:25">
      <c r="R599" t="s">
        <v>25</v>
      </c>
      <c r="S599" t="s">
        <v>25</v>
      </c>
      <c r="U599" s="357"/>
      <c r="V599" s="357"/>
      <c r="W599" s="357"/>
    </row>
    <row r="600" spans="18:25">
      <c r="R600" t="s">
        <v>25</v>
      </c>
      <c r="S600" t="s">
        <v>25</v>
      </c>
      <c r="U600" s="357"/>
      <c r="V600" s="357"/>
      <c r="W600" s="357"/>
    </row>
    <row r="601" spans="18:25">
      <c r="R601" s="112"/>
      <c r="S601" t="s">
        <v>25</v>
      </c>
      <c r="U601" s="357"/>
      <c r="V601" s="357"/>
      <c r="W601" s="357"/>
    </row>
    <row r="602" spans="18:25">
      <c r="U602" s="357"/>
      <c r="V602" s="357"/>
      <c r="W602" s="357"/>
      <c r="Y602" t="s">
        <v>25</v>
      </c>
    </row>
    <row r="603" spans="18:25">
      <c r="S603" t="s">
        <v>25</v>
      </c>
      <c r="U603" s="357"/>
      <c r="V603" s="357"/>
      <c r="W603" s="357"/>
    </row>
    <row r="604" spans="18:25">
      <c r="R604" t="s">
        <v>25</v>
      </c>
      <c r="U604" s="357"/>
      <c r="V604" s="357"/>
      <c r="W604" s="357"/>
    </row>
    <row r="605" spans="18:25">
      <c r="U605" s="357"/>
      <c r="V605" s="357"/>
      <c r="W605" s="357"/>
    </row>
    <row r="607" spans="18:25">
      <c r="U607" s="94"/>
      <c r="W607" s="94"/>
    </row>
    <row r="608" spans="18:25">
      <c r="U608" s="94"/>
      <c r="W608" s="94"/>
      <c r="X608" s="112"/>
    </row>
    <row r="609" spans="21:23">
      <c r="U609" s="94"/>
      <c r="W609" s="94"/>
    </row>
    <row r="610" spans="21:23">
      <c r="U610" s="94"/>
      <c r="W610" s="94"/>
    </row>
    <row r="612" spans="21:23">
      <c r="V612"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36:G1048576 G325:G331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03:T104 T106"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7"/>
  <sheetViews>
    <sheetView topLeftCell="A19" zoomScale="80" zoomScaleNormal="80" workbookViewId="0">
      <selection activeCell="R25" sqref="R25"/>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7" customWidth="1"/>
    <col min="19" max="19" width="25" bestFit="1" customWidth="1"/>
    <col min="20" max="20" width="15.85546875" bestFit="1" customWidth="1"/>
    <col min="21" max="21" width="23.5703125" bestFit="1" customWidth="1"/>
    <col min="22" max="22" width="7.7109375" bestFit="1" customWidth="1"/>
    <col min="23" max="23" width="13" bestFit="1" customWidth="1"/>
    <col min="24" max="24" width="23.140625" bestFit="1" customWidth="1"/>
    <col min="25" max="25" width="12.7109375" bestFit="1" customWidth="1"/>
    <col min="26" max="26" width="17" bestFit="1" customWidth="1"/>
  </cols>
  <sheetData>
    <row r="1" spans="1:29">
      <c r="A1" s="338" t="s">
        <v>5710</v>
      </c>
      <c r="B1" s="338" t="s">
        <v>4358</v>
      </c>
      <c r="C1" s="288">
        <v>16940</v>
      </c>
      <c r="D1" s="338">
        <v>3336</v>
      </c>
      <c r="E1" s="328" t="s">
        <v>4354</v>
      </c>
      <c r="F1" s="327">
        <v>171.46458280816736</v>
      </c>
      <c r="G1" s="328">
        <f t="shared" ref="G1:G9" si="0">C1*D1*0.99114/(F1*1.0037158)</f>
        <v>325453.73781048105</v>
      </c>
      <c r="H1" s="328">
        <f t="shared" ref="H1:H25" si="1">C1/F1</f>
        <v>98.795912966774495</v>
      </c>
      <c r="I1" s="329">
        <f>$R$27/$R$28</f>
        <v>69.485294117647058</v>
      </c>
      <c r="J1" s="339">
        <f t="shared" ref="J1:J33" si="2">I1/H1</f>
        <v>0.7033215446980613</v>
      </c>
      <c r="K1" s="32">
        <f t="shared" ref="K1:K33" si="3">(1/J1-1.0256)*100</f>
        <v>39.622477920437362</v>
      </c>
      <c r="L1" s="339"/>
      <c r="M1" s="339"/>
      <c r="N1" s="339">
        <v>1</v>
      </c>
      <c r="O1" s="40"/>
      <c r="P1" s="40" t="s">
        <v>6391</v>
      </c>
      <c r="Q1" t="s">
        <v>6883</v>
      </c>
      <c r="R1">
        <f>P2/Q2</f>
        <v>0.13515406162464985</v>
      </c>
      <c r="S1" s="94">
        <v>79.34</v>
      </c>
      <c r="T1" s="94"/>
      <c r="U1" s="94"/>
      <c r="V1" s="94"/>
      <c r="W1" s="94"/>
      <c r="X1" s="113"/>
      <c r="Y1" s="113"/>
      <c r="Z1" s="113"/>
      <c r="AA1" s="94"/>
      <c r="AB1" s="94"/>
      <c r="AC1" s="94"/>
    </row>
    <row r="2" spans="1:29">
      <c r="A2" s="338" t="s">
        <v>5718</v>
      </c>
      <c r="B2" s="338" t="s">
        <v>4358</v>
      </c>
      <c r="C2" s="288">
        <v>19359</v>
      </c>
      <c r="D2" s="338">
        <v>3498</v>
      </c>
      <c r="E2" s="328" t="s">
        <v>4354</v>
      </c>
      <c r="F2" s="327">
        <v>185.02646836400302</v>
      </c>
      <c r="G2" s="328">
        <f t="shared" si="0"/>
        <v>361404.12768271239</v>
      </c>
      <c r="H2" s="328">
        <f t="shared" si="1"/>
        <v>104.62827384196186</v>
      </c>
      <c r="I2" s="329">
        <f>$R$27/$R$28</f>
        <v>69.485294117647058</v>
      </c>
      <c r="J2" s="339">
        <f t="shared" si="2"/>
        <v>0.66411584140824775</v>
      </c>
      <c r="K2" s="32">
        <f t="shared" si="3"/>
        <v>48.016140132347232</v>
      </c>
      <c r="L2" s="339" t="s">
        <v>25</v>
      </c>
      <c r="M2" s="339"/>
      <c r="N2" s="339">
        <f>H2/H1</f>
        <v>1.0590344347255418</v>
      </c>
      <c r="O2" s="40"/>
      <c r="P2" s="472">
        <v>193</v>
      </c>
      <c r="Q2" s="473">
        <v>1428</v>
      </c>
      <c r="R2" t="s">
        <v>6885</v>
      </c>
      <c r="S2" s="94" t="s">
        <v>6886</v>
      </c>
      <c r="T2" s="112"/>
      <c r="U2" s="94"/>
      <c r="V2" s="94"/>
      <c r="W2" s="94"/>
      <c r="X2" s="113"/>
      <c r="Y2" s="113"/>
      <c r="Z2" s="113"/>
      <c r="AA2" s="94"/>
      <c r="AB2" s="94"/>
      <c r="AC2" s="94"/>
    </row>
    <row r="3" spans="1:29">
      <c r="A3" s="338" t="s">
        <v>5718</v>
      </c>
      <c r="B3" s="338" t="s">
        <v>4358</v>
      </c>
      <c r="C3" s="288">
        <v>19359</v>
      </c>
      <c r="D3" s="338">
        <v>3611</v>
      </c>
      <c r="E3" s="328" t="s">
        <v>4354</v>
      </c>
      <c r="F3" s="327">
        <v>183.3123266952357</v>
      </c>
      <c r="G3" s="328">
        <f t="shared" si="0"/>
        <v>376567.62685533863</v>
      </c>
      <c r="H3" s="328">
        <f t="shared" si="1"/>
        <v>105.60664603960396</v>
      </c>
      <c r="I3" s="329">
        <f>$R$27/$R$28</f>
        <v>69.485294117647058</v>
      </c>
      <c r="J3" s="339">
        <f t="shared" si="2"/>
        <v>0.65796326958048745</v>
      </c>
      <c r="K3" s="32">
        <f t="shared" si="3"/>
        <v>49.424167845355946</v>
      </c>
      <c r="L3" s="339"/>
      <c r="M3" s="339"/>
      <c r="N3" s="339">
        <f>H3/H2</f>
        <v>1.0093509350935093</v>
      </c>
      <c r="O3" s="40"/>
      <c r="P3" s="40"/>
      <c r="S3" s="113"/>
      <c r="T3" s="113"/>
      <c r="U3" s="113"/>
      <c r="V3" s="113"/>
      <c r="W3" s="113"/>
      <c r="X3" s="113"/>
      <c r="Y3" s="113"/>
      <c r="Z3" s="113"/>
      <c r="AA3" s="113"/>
      <c r="AB3" s="113"/>
      <c r="AC3" s="113"/>
    </row>
    <row r="4" spans="1:29" ht="19.5">
      <c r="A4" s="338" t="s">
        <v>5718</v>
      </c>
      <c r="B4" s="338" t="s">
        <v>4358</v>
      </c>
      <c r="C4" s="288">
        <v>19360.400000000001</v>
      </c>
      <c r="D4" s="338">
        <v>32968</v>
      </c>
      <c r="E4" s="333" t="s">
        <v>4216</v>
      </c>
      <c r="F4" s="330">
        <v>1071.2202344231955</v>
      </c>
      <c r="G4" s="340">
        <f t="shared" si="0"/>
        <v>588372.54986047349</v>
      </c>
      <c r="H4" s="331">
        <f t="shared" si="1"/>
        <v>18.073220966017988</v>
      </c>
      <c r="I4" s="332">
        <f t="shared" ref="I4:I10" si="4">$R$27/$R$24</f>
        <v>12.642140468227424</v>
      </c>
      <c r="J4" s="32">
        <f t="shared" si="2"/>
        <v>0.69949570649292092</v>
      </c>
      <c r="K4" s="32">
        <f t="shared" si="3"/>
        <v>40.400134096279871</v>
      </c>
      <c r="L4" s="32"/>
      <c r="M4" s="32"/>
      <c r="N4" s="341">
        <v>1</v>
      </c>
      <c r="O4" s="40"/>
      <c r="S4" s="113"/>
      <c r="T4" s="113"/>
      <c r="U4" s="113"/>
      <c r="AA4" s="113"/>
      <c r="AB4" s="113"/>
      <c r="AC4" s="113"/>
    </row>
    <row r="5" spans="1:29" ht="19.5">
      <c r="A5" s="338" t="s">
        <v>5720</v>
      </c>
      <c r="B5" s="338" t="s">
        <v>4358</v>
      </c>
      <c r="C5" s="288">
        <v>19361</v>
      </c>
      <c r="D5" s="338">
        <v>7994</v>
      </c>
      <c r="E5" s="333" t="s">
        <v>4216</v>
      </c>
      <c r="F5" s="330">
        <v>1055.3633559531154</v>
      </c>
      <c r="G5" s="340">
        <f t="shared" si="0"/>
        <v>144815.20425245521</v>
      </c>
      <c r="H5" s="331">
        <f t="shared" si="1"/>
        <v>18.345340389912224</v>
      </c>
      <c r="I5" s="332">
        <f t="shared" si="4"/>
        <v>12.642140468227424</v>
      </c>
      <c r="J5" s="32">
        <f t="shared" si="2"/>
        <v>0.68911997267595604</v>
      </c>
      <c r="K5" s="32">
        <f t="shared" si="3"/>
        <v>42.552613137136362</v>
      </c>
      <c r="L5" s="32"/>
      <c r="M5" s="32"/>
      <c r="N5" s="341">
        <f t="shared" ref="N5:N10" si="5">H5/H4</f>
        <v>1.0150564984739514</v>
      </c>
      <c r="O5" s="40"/>
      <c r="S5" s="113"/>
      <c r="T5" s="113"/>
      <c r="U5" s="113"/>
      <c r="AA5" s="113"/>
      <c r="AB5" s="113"/>
      <c r="AC5" s="113"/>
    </row>
    <row r="6" spans="1:29" ht="19.5">
      <c r="A6" s="338" t="s">
        <v>5721</v>
      </c>
      <c r="B6" s="338" t="s">
        <v>4358</v>
      </c>
      <c r="C6" s="288">
        <v>19361</v>
      </c>
      <c r="D6" s="338">
        <v>3244</v>
      </c>
      <c r="E6" s="333" t="s">
        <v>4216</v>
      </c>
      <c r="F6" s="330">
        <v>1046.5539790252931</v>
      </c>
      <c r="G6" s="340">
        <f t="shared" si="0"/>
        <v>59261.308994031693</v>
      </c>
      <c r="H6" s="331">
        <f t="shared" si="1"/>
        <v>18.499762447066367</v>
      </c>
      <c r="I6" s="332">
        <f t="shared" si="4"/>
        <v>12.642140468227424</v>
      </c>
      <c r="J6" s="32">
        <f t="shared" si="2"/>
        <v>0.68336771914777616</v>
      </c>
      <c r="K6" s="32">
        <f t="shared" si="3"/>
        <v>43.774099779704855</v>
      </c>
      <c r="L6" s="32"/>
      <c r="M6" s="32"/>
      <c r="N6" s="341">
        <f t="shared" si="5"/>
        <v>1.0084175084175084</v>
      </c>
      <c r="O6" s="40"/>
      <c r="S6" s="113"/>
      <c r="T6" s="113"/>
      <c r="U6" s="113"/>
      <c r="X6" s="113"/>
      <c r="Y6" s="113"/>
      <c r="Z6" s="113"/>
      <c r="AA6" s="113"/>
      <c r="AB6" s="113"/>
      <c r="AC6" s="113"/>
    </row>
    <row r="7" spans="1:29" ht="19.5">
      <c r="A7" s="338" t="s">
        <v>5718</v>
      </c>
      <c r="B7" s="338" t="s">
        <v>4358</v>
      </c>
      <c r="C7" s="288">
        <v>19360.64</v>
      </c>
      <c r="D7" s="338">
        <v>19092</v>
      </c>
      <c r="E7" s="333" t="s">
        <v>4216</v>
      </c>
      <c r="F7" s="330">
        <v>1043.0302282541641</v>
      </c>
      <c r="G7" s="340">
        <f t="shared" si="0"/>
        <v>349943.94482535077</v>
      </c>
      <c r="H7" s="331">
        <f t="shared" si="1"/>
        <v>18.561916496328262</v>
      </c>
      <c r="I7" s="332">
        <f t="shared" si="4"/>
        <v>12.642140468227424</v>
      </c>
      <c r="J7" s="32">
        <f t="shared" si="2"/>
        <v>0.68107948178347688</v>
      </c>
      <c r="K7" s="32">
        <f t="shared" si="3"/>
        <v>44.265741597940497</v>
      </c>
      <c r="L7" s="32"/>
      <c r="M7" s="32"/>
      <c r="N7" s="341">
        <f t="shared" si="5"/>
        <v>1.0033597214796535</v>
      </c>
      <c r="O7" s="40"/>
      <c r="S7" s="113"/>
      <c r="T7" s="113"/>
      <c r="U7" s="316" t="s">
        <v>6852</v>
      </c>
      <c r="Y7" s="113"/>
      <c r="Z7" s="113"/>
      <c r="AA7" s="113"/>
      <c r="AB7" s="113"/>
      <c r="AC7" s="113"/>
    </row>
    <row r="8" spans="1:29" ht="19.5">
      <c r="A8" s="338" t="s">
        <v>6397</v>
      </c>
      <c r="B8" s="338" t="s">
        <v>4358</v>
      </c>
      <c r="C8" s="288">
        <v>24630.9</v>
      </c>
      <c r="D8" s="338">
        <v>1137</v>
      </c>
      <c r="E8" s="333" t="s">
        <v>4216</v>
      </c>
      <c r="F8" s="330">
        <v>1434.1665638494758</v>
      </c>
      <c r="G8" s="340">
        <f t="shared" si="0"/>
        <v>19282.591260637706</v>
      </c>
      <c r="H8" s="331">
        <f t="shared" si="1"/>
        <v>17.17436497326203</v>
      </c>
      <c r="I8" s="332">
        <f t="shared" si="4"/>
        <v>12.642140468227424</v>
      </c>
      <c r="J8" s="32">
        <f t="shared" si="2"/>
        <v>0.73610526432327394</v>
      </c>
      <c r="K8" s="32">
        <f t="shared" si="3"/>
        <v>33.290135635062093</v>
      </c>
      <c r="L8" s="32"/>
      <c r="M8" s="32"/>
      <c r="N8" s="341">
        <f t="shared" si="5"/>
        <v>0.92524739978543136</v>
      </c>
      <c r="O8" s="40"/>
      <c r="S8" s="113"/>
      <c r="T8" s="113"/>
      <c r="U8" s="113"/>
      <c r="Y8" t="s">
        <v>25</v>
      </c>
      <c r="AA8" s="113"/>
      <c r="AB8" s="113"/>
      <c r="AC8" s="113"/>
    </row>
    <row r="9" spans="1:29" ht="19.5">
      <c r="A9" s="338" t="s">
        <v>6406</v>
      </c>
      <c r="B9" s="338" t="s">
        <v>4358</v>
      </c>
      <c r="C9" s="288">
        <v>24498.3</v>
      </c>
      <c r="D9" s="338">
        <v>250</v>
      </c>
      <c r="E9" s="333" t="s">
        <v>4216</v>
      </c>
      <c r="F9" s="330">
        <v>1341.6681061073411</v>
      </c>
      <c r="G9" s="340">
        <f t="shared" si="0"/>
        <v>4507.7010319501242</v>
      </c>
      <c r="H9" s="331">
        <f t="shared" si="1"/>
        <v>18.259582894221378</v>
      </c>
      <c r="I9" s="332">
        <f t="shared" si="4"/>
        <v>12.642140468227424</v>
      </c>
      <c r="J9" s="32">
        <f t="shared" si="2"/>
        <v>0.69235647612894213</v>
      </c>
      <c r="K9" s="32">
        <f t="shared" si="3"/>
        <v>41.874266808788164</v>
      </c>
      <c r="L9" s="32"/>
      <c r="M9" s="32"/>
      <c r="N9" s="341">
        <f t="shared" si="5"/>
        <v>1.0631882414662128</v>
      </c>
      <c r="O9" s="40"/>
      <c r="S9" s="113"/>
      <c r="T9" s="113"/>
      <c r="U9" s="113"/>
    </row>
    <row r="10" spans="1:29" ht="19.5">
      <c r="A10" s="338" t="s">
        <v>6408</v>
      </c>
      <c r="B10" s="338" t="s">
        <v>4358</v>
      </c>
      <c r="C10" s="288">
        <v>25196.5</v>
      </c>
      <c r="D10" s="338">
        <v>613</v>
      </c>
      <c r="E10" s="333" t="s">
        <v>4216</v>
      </c>
      <c r="F10" s="330">
        <v>1358.5821098087602</v>
      </c>
      <c r="G10" s="419">
        <f>C10*D10*0.9912/(F10*1.003631981)</f>
        <v>11227.979283296863</v>
      </c>
      <c r="H10" s="331">
        <f t="shared" si="1"/>
        <v>18.546173851462513</v>
      </c>
      <c r="I10" s="332">
        <f t="shared" si="4"/>
        <v>12.642140468227424</v>
      </c>
      <c r="J10" s="32">
        <f t="shared" si="2"/>
        <v>0.68165760600968872</v>
      </c>
      <c r="K10" s="32">
        <f t="shared" si="3"/>
        <v>44.141216444108224</v>
      </c>
      <c r="L10" s="32"/>
      <c r="M10" s="32"/>
      <c r="N10" s="341">
        <f t="shared" si="5"/>
        <v>1.0156953726107201</v>
      </c>
      <c r="O10" s="40"/>
    </row>
    <row r="11" spans="1:29">
      <c r="A11" s="328" t="s">
        <v>5752</v>
      </c>
      <c r="B11" s="328" t="s">
        <v>4354</v>
      </c>
      <c r="C11" s="327">
        <v>151.09654650869675</v>
      </c>
      <c r="D11" s="328">
        <v>52919.78</v>
      </c>
      <c r="E11" s="333" t="s">
        <v>4216</v>
      </c>
      <c r="F11" s="330">
        <v>1024.5305367057372</v>
      </c>
      <c r="G11" s="333">
        <f t="shared" ref="G11:G25" si="6">C11*D11*0.99114/(F11*1.0037158)</f>
        <v>7706.761227239137</v>
      </c>
      <c r="H11" s="333">
        <f t="shared" si="1"/>
        <v>0.14747881209527508</v>
      </c>
      <c r="I11" s="332">
        <f t="shared" ref="I11:I25" si="7">$R$28/$R$24</f>
        <v>0.18193979933110369</v>
      </c>
      <c r="J11" s="339">
        <f t="shared" si="2"/>
        <v>1.2336673773420817</v>
      </c>
      <c r="K11" s="339">
        <f t="shared" si="3"/>
        <v>-21.500873499104323</v>
      </c>
      <c r="L11" s="339"/>
      <c r="M11" s="339"/>
      <c r="N11" s="339">
        <v>1</v>
      </c>
      <c r="O11" s="40"/>
    </row>
    <row r="12" spans="1:29">
      <c r="A12" s="328" t="s">
        <v>5754</v>
      </c>
      <c r="B12" s="328" t="s">
        <v>4354</v>
      </c>
      <c r="C12" s="327">
        <v>149.63448449710108</v>
      </c>
      <c r="D12" s="328">
        <v>88543.44</v>
      </c>
      <c r="E12" s="333" t="s">
        <v>4216</v>
      </c>
      <c r="F12" s="330">
        <v>1006.0308451573103</v>
      </c>
      <c r="G12" s="333">
        <f t="shared" si="6"/>
        <v>13004.720687196468</v>
      </c>
      <c r="H12" s="333">
        <f t="shared" si="1"/>
        <v>0.14873747183537214</v>
      </c>
      <c r="I12" s="332">
        <f t="shared" si="7"/>
        <v>0.18193979933110369</v>
      </c>
      <c r="J12" s="339">
        <f t="shared" si="2"/>
        <v>1.2232277252398174</v>
      </c>
      <c r="K12" s="339">
        <f t="shared" si="3"/>
        <v>-20.809073384602449</v>
      </c>
      <c r="L12" s="339"/>
      <c r="M12" s="339"/>
      <c r="N12" s="339">
        <f t="shared" ref="N12:N20" si="8">H12/H11</f>
        <v>1.0085345123290248</v>
      </c>
      <c r="O12" s="40"/>
    </row>
    <row r="13" spans="1:29">
      <c r="A13" s="328" t="s">
        <v>5755</v>
      </c>
      <c r="B13" s="328" t="s">
        <v>4354</v>
      </c>
      <c r="C13" s="327">
        <v>149.63448449710108</v>
      </c>
      <c r="D13" s="328">
        <v>88543.44</v>
      </c>
      <c r="E13" s="333" t="s">
        <v>4216</v>
      </c>
      <c r="F13" s="330">
        <v>996.34053053670573</v>
      </c>
      <c r="G13" s="333">
        <f t="shared" si="6"/>
        <v>13131.203381766902</v>
      </c>
      <c r="H13" s="333">
        <f t="shared" si="1"/>
        <v>0.15018407854641469</v>
      </c>
      <c r="I13" s="332">
        <f t="shared" si="7"/>
        <v>0.18193979933110369</v>
      </c>
      <c r="J13" s="339">
        <f t="shared" si="2"/>
        <v>1.2114453215816403</v>
      </c>
      <c r="K13" s="339">
        <f t="shared" si="3"/>
        <v>-20.013971534231633</v>
      </c>
      <c r="L13" s="339"/>
      <c r="M13" s="339"/>
      <c r="N13" s="339">
        <f t="shared" si="8"/>
        <v>1.0097259062776305</v>
      </c>
      <c r="O13" s="40"/>
    </row>
    <row r="14" spans="1:29">
      <c r="A14" s="328" t="s">
        <v>5757</v>
      </c>
      <c r="B14" s="328" t="s">
        <v>4354</v>
      </c>
      <c r="C14" s="327">
        <v>143.43332493067808</v>
      </c>
      <c r="D14" s="328">
        <v>88543.44</v>
      </c>
      <c r="E14" s="333" t="s">
        <v>4216</v>
      </c>
      <c r="F14" s="330">
        <v>942.60333127698959</v>
      </c>
      <c r="G14" s="333">
        <f t="shared" si="6"/>
        <v>13304.597156426949</v>
      </c>
      <c r="H14" s="333">
        <f t="shared" si="1"/>
        <v>0.15216721623120313</v>
      </c>
      <c r="I14" s="332">
        <f t="shared" si="7"/>
        <v>0.18193979933110369</v>
      </c>
      <c r="J14" s="339">
        <f t="shared" si="2"/>
        <v>1.1956570136281131</v>
      </c>
      <c r="K14" s="339">
        <f t="shared" si="3"/>
        <v>-18.923974902335051</v>
      </c>
      <c r="L14" s="339"/>
      <c r="M14" s="339"/>
      <c r="N14" s="339">
        <f t="shared" si="8"/>
        <v>1.0132047132025086</v>
      </c>
      <c r="O14" s="40"/>
    </row>
    <row r="15" spans="1:29">
      <c r="A15" s="342" t="s">
        <v>5757</v>
      </c>
      <c r="B15" s="328" t="s">
        <v>4354</v>
      </c>
      <c r="C15" s="327">
        <v>144.00050415931435</v>
      </c>
      <c r="D15" s="328">
        <v>88543.44</v>
      </c>
      <c r="E15" s="333" t="s">
        <v>4216</v>
      </c>
      <c r="F15" s="330">
        <v>954.05552128315855</v>
      </c>
      <c r="G15" s="333">
        <f t="shared" si="6"/>
        <v>13196.871776798998</v>
      </c>
      <c r="H15" s="333">
        <f t="shared" si="1"/>
        <v>0.15093514051010432</v>
      </c>
      <c r="I15" s="332">
        <f t="shared" si="7"/>
        <v>0.18193979933110369</v>
      </c>
      <c r="J15" s="339">
        <f t="shared" si="2"/>
        <v>1.2054170997967419</v>
      </c>
      <c r="K15" s="339">
        <f t="shared" si="3"/>
        <v>-19.601163579924286</v>
      </c>
      <c r="L15" s="339"/>
      <c r="M15" s="339" t="s">
        <v>25</v>
      </c>
      <c r="N15" s="339">
        <f t="shared" si="8"/>
        <v>0.99190314608090879</v>
      </c>
      <c r="O15" s="40"/>
      <c r="P15" s="113"/>
      <c r="Q15" s="113"/>
      <c r="R15" s="113"/>
    </row>
    <row r="16" spans="1:29">
      <c r="A16" s="342" t="s">
        <v>5758</v>
      </c>
      <c r="B16" s="328" t="s">
        <v>4354</v>
      </c>
      <c r="C16" s="327">
        <v>144.26518779934457</v>
      </c>
      <c r="D16" s="328">
        <v>139876.42000000001</v>
      </c>
      <c r="E16" s="333" t="s">
        <v>4216</v>
      </c>
      <c r="F16" s="330">
        <v>932.03207896360277</v>
      </c>
      <c r="G16" s="333">
        <f t="shared" si="6"/>
        <v>21379.593154219961</v>
      </c>
      <c r="H16" s="333">
        <f t="shared" si="1"/>
        <v>0.15478564639080233</v>
      </c>
      <c r="I16" s="332">
        <f t="shared" si="7"/>
        <v>0.18193979933110369</v>
      </c>
      <c r="J16" s="339">
        <f t="shared" si="2"/>
        <v>1.1754306912395651</v>
      </c>
      <c r="K16" s="339">
        <f t="shared" si="3"/>
        <v>-17.484800972702409</v>
      </c>
      <c r="L16" s="339"/>
      <c r="M16" s="339"/>
      <c r="N16" s="339">
        <f t="shared" si="8"/>
        <v>1.0255109967611569</v>
      </c>
      <c r="O16" s="40"/>
      <c r="P16" s="87" t="s">
        <v>932</v>
      </c>
      <c r="Q16" s="87">
        <v>586.29999999999995</v>
      </c>
      <c r="R16" s="87">
        <f>Q16/0.9912</f>
        <v>591.50524616626308</v>
      </c>
    </row>
    <row r="17" spans="1:26">
      <c r="A17" s="342" t="s">
        <v>5765</v>
      </c>
      <c r="B17" s="328" t="s">
        <v>4354</v>
      </c>
      <c r="C17" s="327">
        <v>144.31560373077892</v>
      </c>
      <c r="D17" s="328">
        <v>83941.72</v>
      </c>
      <c r="E17" s="333" t="s">
        <v>4216</v>
      </c>
      <c r="F17" s="330">
        <v>914.41332510795803</v>
      </c>
      <c r="G17" s="333">
        <f t="shared" si="6"/>
        <v>13081.961033143276</v>
      </c>
      <c r="H17" s="333">
        <f t="shared" si="1"/>
        <v>0.15782316351715525</v>
      </c>
      <c r="I17" s="332">
        <f t="shared" si="7"/>
        <v>0.18193979933110369</v>
      </c>
      <c r="J17" s="339">
        <f t="shared" si="2"/>
        <v>1.15280796098937</v>
      </c>
      <c r="K17" s="339">
        <f t="shared" si="3"/>
        <v>-15.815283287445926</v>
      </c>
      <c r="L17" s="339"/>
      <c r="M17" s="339"/>
      <c r="N17" s="339">
        <f t="shared" si="8"/>
        <v>1.019624023268177</v>
      </c>
      <c r="O17" s="40"/>
      <c r="P17" s="87" t="s">
        <v>61</v>
      </c>
      <c r="Q17" s="87">
        <v>1557.5</v>
      </c>
      <c r="R17" s="87">
        <f>Q17/1.003631981</f>
        <v>1551.8636606698565</v>
      </c>
    </row>
    <row r="18" spans="1:26">
      <c r="A18" s="342" t="s">
        <v>5769</v>
      </c>
      <c r="B18" s="328" t="s">
        <v>4354</v>
      </c>
      <c r="C18" s="327">
        <v>144.37862364507183</v>
      </c>
      <c r="D18" s="328">
        <v>145906.26</v>
      </c>
      <c r="E18" s="333" t="s">
        <v>4216</v>
      </c>
      <c r="F18" s="330">
        <v>897.67550894509566</v>
      </c>
      <c r="G18" s="333">
        <f t="shared" si="6"/>
        <v>23172.969449460001</v>
      </c>
      <c r="H18" s="333">
        <f t="shared" si="1"/>
        <v>0.16083609523305201</v>
      </c>
      <c r="I18" s="332">
        <f t="shared" si="7"/>
        <v>0.18193979933110369</v>
      </c>
      <c r="J18" s="339">
        <f t="shared" si="2"/>
        <v>1.1312124872683109</v>
      </c>
      <c r="K18" s="339">
        <f t="shared" si="3"/>
        <v>-14.159278539186504</v>
      </c>
      <c r="L18" s="339"/>
      <c r="M18" s="339"/>
      <c r="N18" s="339">
        <f t="shared" si="8"/>
        <v>1.0190905545722966</v>
      </c>
      <c r="O18" s="40"/>
      <c r="P18" s="87" t="s">
        <v>6369</v>
      </c>
      <c r="Q18" s="87">
        <v>14984</v>
      </c>
      <c r="R18" s="87">
        <f>Q18*0.9912/1.003631981</f>
        <v>14798.393316643422</v>
      </c>
    </row>
    <row r="19" spans="1:26">
      <c r="A19" s="342" t="s">
        <v>5769</v>
      </c>
      <c r="B19" s="328" t="s">
        <v>4354</v>
      </c>
      <c r="C19" s="327">
        <v>145.76506175951599</v>
      </c>
      <c r="D19" s="328">
        <v>265630.32</v>
      </c>
      <c r="E19" s="333" t="s">
        <v>4216</v>
      </c>
      <c r="F19" s="330">
        <v>899.43738433066017</v>
      </c>
      <c r="G19" s="333">
        <f t="shared" si="6"/>
        <v>42509.343180398719</v>
      </c>
      <c r="H19" s="333">
        <f t="shared" si="1"/>
        <v>0.16206248961731878</v>
      </c>
      <c r="I19" s="332">
        <f t="shared" si="7"/>
        <v>0.18193979933110369</v>
      </c>
      <c r="J19" s="339">
        <f t="shared" si="2"/>
        <v>1.1226521310435349</v>
      </c>
      <c r="K19" s="339">
        <f t="shared" si="3"/>
        <v>-13.485212508128097</v>
      </c>
      <c r="L19" s="339"/>
      <c r="M19" s="339"/>
      <c r="N19" s="339">
        <f t="shared" si="8"/>
        <v>1.0076251191157664</v>
      </c>
      <c r="O19" s="40"/>
      <c r="P19" s="87" t="s">
        <v>1068</v>
      </c>
      <c r="Q19" s="87">
        <v>1155794</v>
      </c>
      <c r="R19" s="87">
        <f>Q19*1.00125</f>
        <v>1157238.7424999999</v>
      </c>
    </row>
    <row r="20" spans="1:26">
      <c r="A20" s="342" t="s">
        <v>5406</v>
      </c>
      <c r="B20" s="328" t="s">
        <v>4354</v>
      </c>
      <c r="C20" s="327">
        <v>143.69800857070834</v>
      </c>
      <c r="D20" s="328">
        <v>15471.300000000001</v>
      </c>
      <c r="E20" s="333" t="s">
        <v>4216</v>
      </c>
      <c r="F20" s="330">
        <v>870.36644046884646</v>
      </c>
      <c r="G20" s="333">
        <f t="shared" si="6"/>
        <v>2522.3169755580066</v>
      </c>
      <c r="H20" s="333">
        <f t="shared" si="1"/>
        <v>0.16510058509758432</v>
      </c>
      <c r="I20" s="332">
        <f t="shared" si="7"/>
        <v>0.18193979933110369</v>
      </c>
      <c r="J20" s="339">
        <f t="shared" si="2"/>
        <v>1.1019936678211431</v>
      </c>
      <c r="K20" s="339">
        <f t="shared" si="3"/>
        <v>-11.815376940849809</v>
      </c>
      <c r="L20" s="339"/>
      <c r="M20" s="339"/>
      <c r="N20" s="339">
        <f t="shared" si="8"/>
        <v>1.0187464445809729</v>
      </c>
      <c r="O20" s="40"/>
      <c r="S20" s="316"/>
      <c r="T20" s="113"/>
      <c r="U20" s="113"/>
    </row>
    <row r="21" spans="1:26">
      <c r="A21" s="342" t="s">
        <v>5805</v>
      </c>
      <c r="B21" s="328" t="s">
        <v>4354</v>
      </c>
      <c r="C21" s="327">
        <v>182.80816738089234</v>
      </c>
      <c r="D21" s="328">
        <v>486116.18</v>
      </c>
      <c r="E21" s="333" t="s">
        <v>4216</v>
      </c>
      <c r="F21" s="330">
        <v>1038.7136335595312</v>
      </c>
      <c r="G21" s="333">
        <f t="shared" si="6"/>
        <v>84481.979712099841</v>
      </c>
      <c r="H21" s="333">
        <f t="shared" si="1"/>
        <v>0.1759947703337959</v>
      </c>
      <c r="I21" s="332">
        <f t="shared" si="7"/>
        <v>0.18193979933110369</v>
      </c>
      <c r="J21" s="339">
        <f t="shared" si="2"/>
        <v>1.0337795775751308</v>
      </c>
      <c r="K21" s="339">
        <f t="shared" si="3"/>
        <v>-5.8275802760938138</v>
      </c>
      <c r="L21" s="339"/>
      <c r="M21" s="339"/>
      <c r="N21" s="339">
        <f>H21/H20</f>
        <v>1.0659851400876166</v>
      </c>
      <c r="O21" s="40"/>
      <c r="S21" s="113"/>
    </row>
    <row r="22" spans="1:26">
      <c r="A22" s="342" t="s">
        <v>6244</v>
      </c>
      <c r="B22" s="328" t="s">
        <v>4354</v>
      </c>
      <c r="C22" s="327">
        <v>178.61104108898411</v>
      </c>
      <c r="D22" s="328">
        <v>167010.70000000001</v>
      </c>
      <c r="E22" s="333" t="s">
        <v>4216</v>
      </c>
      <c r="F22" s="330">
        <v>1017.4830351634794</v>
      </c>
      <c r="G22" s="333">
        <f t="shared" si="6"/>
        <v>28950.073074646069</v>
      </c>
      <c r="H22" s="333">
        <f t="shared" si="1"/>
        <v>0.17554203354386799</v>
      </c>
      <c r="I22" s="332">
        <f t="shared" si="7"/>
        <v>0.18193979933110369</v>
      </c>
      <c r="J22" s="339">
        <f t="shared" si="2"/>
        <v>1.0364457768779174</v>
      </c>
      <c r="K22" s="339">
        <f t="shared" si="3"/>
        <v>-6.0764190632049182</v>
      </c>
      <c r="L22" s="339"/>
      <c r="M22" s="339"/>
      <c r="N22" s="339">
        <f>H22/H21</f>
        <v>0.99742755543775963</v>
      </c>
      <c r="O22" s="40"/>
    </row>
    <row r="23" spans="1:26" ht="21">
      <c r="A23" s="342" t="s">
        <v>6257</v>
      </c>
      <c r="B23" s="328" t="s">
        <v>4354</v>
      </c>
      <c r="C23" s="327">
        <v>196.42046886816232</v>
      </c>
      <c r="D23" s="328">
        <v>378927.84</v>
      </c>
      <c r="E23" s="333" t="s">
        <v>4216</v>
      </c>
      <c r="F23" s="330">
        <v>1103.8149290561382</v>
      </c>
      <c r="G23" s="333">
        <f t="shared" si="6"/>
        <v>66584.207796513496</v>
      </c>
      <c r="H23" s="333">
        <f t="shared" si="1"/>
        <v>0.17794692180519756</v>
      </c>
      <c r="I23" s="332">
        <f t="shared" si="7"/>
        <v>0.18193979933110369</v>
      </c>
      <c r="J23" s="339">
        <f t="shared" si="2"/>
        <v>1.022438587222527</v>
      </c>
      <c r="K23" s="339">
        <f t="shared" si="3"/>
        <v>-4.7546146695697349</v>
      </c>
      <c r="L23" s="339"/>
      <c r="M23" s="339"/>
      <c r="N23" s="339">
        <f>H23/H22</f>
        <v>1.0136997858164185</v>
      </c>
      <c r="O23" s="40"/>
      <c r="Q23" s="67" t="s">
        <v>5834</v>
      </c>
      <c r="R23" s="294">
        <v>3166</v>
      </c>
    </row>
    <row r="24" spans="1:26" ht="21">
      <c r="A24" s="342" t="s">
        <v>6264</v>
      </c>
      <c r="B24" s="328" t="s">
        <v>4354</v>
      </c>
      <c r="C24" s="327">
        <v>201.80236954877739</v>
      </c>
      <c r="D24" s="328">
        <v>116788.48000000001</v>
      </c>
      <c r="E24" s="333" t="s">
        <v>4216</v>
      </c>
      <c r="F24" s="330">
        <v>1123.1955582973474</v>
      </c>
      <c r="G24" s="333">
        <f t="shared" si="6"/>
        <v>20720.256774290941</v>
      </c>
      <c r="H24" s="333">
        <f t="shared" si="1"/>
        <v>0.17966806230492016</v>
      </c>
      <c r="I24" s="332">
        <f t="shared" si="7"/>
        <v>0.18193979933110369</v>
      </c>
      <c r="J24" s="339">
        <f t="shared" si="2"/>
        <v>1.0126440781797272</v>
      </c>
      <c r="K24" s="339">
        <f t="shared" si="3"/>
        <v>-3.8086201669648378</v>
      </c>
      <c r="L24" s="339"/>
      <c r="M24" s="339"/>
      <c r="N24" s="339">
        <f>H24/H23</f>
        <v>1.0096722128276361</v>
      </c>
      <c r="O24" s="40"/>
      <c r="Q24" s="97" t="s">
        <v>4216</v>
      </c>
      <c r="R24" s="276">
        <v>1495</v>
      </c>
      <c r="Z24" s="317"/>
    </row>
    <row r="25" spans="1:26" ht="21">
      <c r="A25" s="342" t="s">
        <v>6745</v>
      </c>
      <c r="B25" s="328" t="s">
        <v>4354</v>
      </c>
      <c r="C25" s="327">
        <v>238.08923619863876</v>
      </c>
      <c r="D25" s="328">
        <v>31974.02</v>
      </c>
      <c r="E25" s="333" t="s">
        <v>4216</v>
      </c>
      <c r="F25" s="330">
        <v>1325.7231338679828</v>
      </c>
      <c r="G25" s="333">
        <f t="shared" si="6"/>
        <v>5670.3310135323054</v>
      </c>
      <c r="H25" s="333">
        <f t="shared" si="1"/>
        <v>0.17959197521429687</v>
      </c>
      <c r="I25" s="332">
        <f t="shared" si="7"/>
        <v>0.18193979933110369</v>
      </c>
      <c r="J25" s="339">
        <f t="shared" si="2"/>
        <v>1.0130731014790906</v>
      </c>
      <c r="K25" s="339">
        <f t="shared" si="3"/>
        <v>-3.8504400936125838</v>
      </c>
      <c r="L25" s="339"/>
      <c r="M25" s="339"/>
      <c r="N25" s="339">
        <f>H25/H24</f>
        <v>0.99957651298930272</v>
      </c>
      <c r="O25" s="40"/>
      <c r="Q25" s="97" t="s">
        <v>5259</v>
      </c>
      <c r="R25" s="286">
        <v>567</v>
      </c>
      <c r="Z25" s="317"/>
    </row>
    <row r="26" spans="1:26" ht="21">
      <c r="A26" s="343" t="s">
        <v>6252</v>
      </c>
      <c r="B26" s="333" t="s">
        <v>4216</v>
      </c>
      <c r="C26" s="330">
        <v>1061.5299198025909</v>
      </c>
      <c r="D26" s="475">
        <v>13473.143557422969</v>
      </c>
      <c r="E26" s="335" t="s">
        <v>5259</v>
      </c>
      <c r="F26" s="334">
        <v>447.43299999999999</v>
      </c>
      <c r="G26" s="464">
        <f t="shared" ref="G26:G32" si="9">C26*D26*0.99114/(F26*1.0037158)</f>
        <v>31564.390507451786</v>
      </c>
      <c r="H26" s="335">
        <f t="shared" ref="H26:H31" si="10">C26/F26</f>
        <v>2.3724891096601972</v>
      </c>
      <c r="I26" s="336">
        <f t="shared" ref="I26:I42" si="11">$R$24/$R$25</f>
        <v>2.6366843033509699</v>
      </c>
      <c r="J26" s="339">
        <f t="shared" si="2"/>
        <v>1.1113578109231499</v>
      </c>
      <c r="K26" s="339">
        <f t="shared" si="3"/>
        <v>-12.579978249007894</v>
      </c>
      <c r="L26" s="339"/>
      <c r="M26" s="339"/>
      <c r="N26" s="339">
        <f>1</f>
        <v>1</v>
      </c>
      <c r="O26" s="344"/>
      <c r="Q26" s="97" t="s">
        <v>5788</v>
      </c>
      <c r="R26" s="313">
        <v>1785</v>
      </c>
      <c r="T26" s="113"/>
      <c r="Z26" s="317"/>
    </row>
    <row r="27" spans="1:26" ht="21">
      <c r="A27" s="343" t="s">
        <v>6254</v>
      </c>
      <c r="B27" s="333" t="s">
        <v>4216</v>
      </c>
      <c r="C27" s="330">
        <v>1079.1486736582358</v>
      </c>
      <c r="D27" s="475">
        <v>61368.698879551819</v>
      </c>
      <c r="E27" s="335" t="s">
        <v>5259</v>
      </c>
      <c r="F27" s="334">
        <v>450.66300000000001</v>
      </c>
      <c r="G27" s="464">
        <f t="shared" si="9"/>
        <v>145111.06730349615</v>
      </c>
      <c r="H27" s="335">
        <f t="shared" si="10"/>
        <v>2.3945801489322083</v>
      </c>
      <c r="I27" s="336">
        <f t="shared" si="11"/>
        <v>2.6366843033509699</v>
      </c>
      <c r="J27" s="339">
        <f t="shared" si="2"/>
        <v>1.101105053646553</v>
      </c>
      <c r="K27" s="339">
        <f t="shared" si="3"/>
        <v>-11.742144184310233</v>
      </c>
      <c r="L27" s="339"/>
      <c r="M27" s="339"/>
      <c r="N27" s="339">
        <f t="shared" ref="N27:N32" si="12">H27/H26</f>
        <v>1.0093113343205926</v>
      </c>
      <c r="O27" s="344"/>
      <c r="Q27" s="97" t="s">
        <v>4358</v>
      </c>
      <c r="R27" s="275">
        <v>18900</v>
      </c>
      <c r="T27" s="113"/>
      <c r="Y27" s="317"/>
    </row>
    <row r="28" spans="1:26" ht="21">
      <c r="A28" s="343" t="s">
        <v>6255</v>
      </c>
      <c r="B28" s="333" t="s">
        <v>4216</v>
      </c>
      <c r="C28" s="330">
        <v>1144.5142504626774</v>
      </c>
      <c r="D28" s="475">
        <v>208701.47969187674</v>
      </c>
      <c r="E28" s="335" t="s">
        <v>5259</v>
      </c>
      <c r="F28" s="334">
        <v>467.66699999999997</v>
      </c>
      <c r="G28" s="464">
        <f t="shared" si="9"/>
        <v>504352.58344984357</v>
      </c>
      <c r="H28" s="335">
        <f t="shared" si="10"/>
        <v>2.4472846073438523</v>
      </c>
      <c r="I28" s="336">
        <f t="shared" si="11"/>
        <v>2.6366843033509699</v>
      </c>
      <c r="J28" s="339">
        <f t="shared" si="2"/>
        <v>1.0773917734940857</v>
      </c>
      <c r="K28" s="339">
        <f t="shared" si="3"/>
        <v>-9.743252684684677</v>
      </c>
      <c r="L28" s="339"/>
      <c r="M28" s="339"/>
      <c r="N28" s="339">
        <f t="shared" si="12"/>
        <v>1.0220098953192884</v>
      </c>
      <c r="O28" s="344"/>
      <c r="Q28" s="97" t="s">
        <v>4354</v>
      </c>
      <c r="R28" s="285">
        <v>272</v>
      </c>
      <c r="T28" s="113"/>
      <c r="Y28" s="317"/>
    </row>
    <row r="29" spans="1:26" ht="21">
      <c r="A29" s="343" t="s">
        <v>6255</v>
      </c>
      <c r="B29" s="333" t="s">
        <v>4216</v>
      </c>
      <c r="C29" s="330">
        <v>1151.3855644663788</v>
      </c>
      <c r="D29" s="475">
        <v>287315.43907563022</v>
      </c>
      <c r="E29" s="335" t="s">
        <v>5259</v>
      </c>
      <c r="F29" s="334">
        <v>462.23329999999999</v>
      </c>
      <c r="G29" s="464">
        <f t="shared" si="9"/>
        <v>706712.47443523828</v>
      </c>
      <c r="H29" s="335">
        <f t="shared" si="10"/>
        <v>2.4909186864433583</v>
      </c>
      <c r="I29" s="336">
        <f t="shared" si="11"/>
        <v>2.6366843033509699</v>
      </c>
      <c r="J29" s="339">
        <f t="shared" si="2"/>
        <v>1.0585188178566125</v>
      </c>
      <c r="K29" s="339">
        <f t="shared" si="3"/>
        <v>-8.0883682131515542</v>
      </c>
      <c r="L29" s="339"/>
      <c r="M29" s="339"/>
      <c r="N29" s="339">
        <f t="shared" si="12"/>
        <v>1.0178295891571287</v>
      </c>
      <c r="O29" s="344"/>
      <c r="Q29" s="97" t="s">
        <v>4651</v>
      </c>
      <c r="R29" s="378">
        <v>900</v>
      </c>
      <c r="Y29" s="317"/>
    </row>
    <row r="30" spans="1:26" ht="21">
      <c r="A30" s="343" t="s">
        <v>955</v>
      </c>
      <c r="B30" s="333" t="s">
        <v>4216</v>
      </c>
      <c r="C30" s="330">
        <v>1344.3109191856879</v>
      </c>
      <c r="D30" s="475">
        <v>11351.540616246499</v>
      </c>
      <c r="E30" s="335" t="s">
        <v>5259</v>
      </c>
      <c r="F30" s="334">
        <v>538.94000000000005</v>
      </c>
      <c r="G30" s="464">
        <f t="shared" si="9"/>
        <v>27960.076704394509</v>
      </c>
      <c r="H30" s="356">
        <f t="shared" si="10"/>
        <v>2.4943610034246628</v>
      </c>
      <c r="I30" s="336">
        <f t="shared" si="11"/>
        <v>2.6366843033509699</v>
      </c>
      <c r="J30" s="339">
        <f t="shared" si="2"/>
        <v>1.0570580199621877</v>
      </c>
      <c r="K30" s="339">
        <f t="shared" si="3"/>
        <v>-7.957813448710116</v>
      </c>
      <c r="L30" s="339"/>
      <c r="M30" s="339"/>
      <c r="N30" s="339">
        <f t="shared" si="12"/>
        <v>1.0013819467492211</v>
      </c>
      <c r="O30" s="344"/>
      <c r="Q30" s="67" t="s">
        <v>1068</v>
      </c>
      <c r="R30" s="314">
        <v>14100000</v>
      </c>
      <c r="V30" t="s">
        <v>25</v>
      </c>
      <c r="Y30" s="317"/>
    </row>
    <row r="31" spans="1:26" ht="18.75">
      <c r="A31" s="343" t="s">
        <v>6695</v>
      </c>
      <c r="B31" s="333" t="s">
        <v>4216</v>
      </c>
      <c r="C31" s="330">
        <v>1294.9784083898828</v>
      </c>
      <c r="D31" s="475">
        <v>113515.40616246498</v>
      </c>
      <c r="E31" s="335" t="s">
        <v>5259</v>
      </c>
      <c r="F31" s="334">
        <v>517.66700000000003</v>
      </c>
      <c r="G31" s="464">
        <f t="shared" si="9"/>
        <v>280408.45013521047</v>
      </c>
      <c r="H31" s="356">
        <f t="shared" si="10"/>
        <v>2.5015664672267746</v>
      </c>
      <c r="I31" s="336">
        <f t="shared" si="11"/>
        <v>2.6366843033509699</v>
      </c>
      <c r="J31" s="339">
        <f t="shared" si="2"/>
        <v>1.0540132904299706</v>
      </c>
      <c r="K31" s="339">
        <f t="shared" si="3"/>
        <v>-7.6845359921350447</v>
      </c>
      <c r="L31" s="339"/>
      <c r="M31" s="339"/>
      <c r="N31" s="339">
        <f t="shared" si="12"/>
        <v>1.0028887012714756</v>
      </c>
      <c r="O31" s="344"/>
      <c r="U31" s="318"/>
      <c r="V31" s="318">
        <f>R16/1.0127</f>
        <v>584.08733698653418</v>
      </c>
      <c r="Y31" s="317"/>
    </row>
    <row r="32" spans="1:26" ht="18.75">
      <c r="A32" s="343" t="s">
        <v>6700</v>
      </c>
      <c r="B32" s="333" t="s">
        <v>4216</v>
      </c>
      <c r="C32" s="330">
        <v>1300.7749784083899</v>
      </c>
      <c r="D32" s="475">
        <v>143589.49677871147</v>
      </c>
      <c r="E32" s="335" t="s">
        <v>5259</v>
      </c>
      <c r="F32" s="334">
        <v>512.29600000000005</v>
      </c>
      <c r="G32" s="464">
        <f t="shared" si="9"/>
        <v>360021.24195909058</v>
      </c>
      <c r="H32" s="356">
        <f t="shared" ref="H32:H34" si="13">C32/F32</f>
        <v>2.5391082077712683</v>
      </c>
      <c r="I32" s="336">
        <f t="shared" si="11"/>
        <v>2.6366843033509699</v>
      </c>
      <c r="J32" s="339">
        <f t="shared" si="2"/>
        <v>1.0384292781540612</v>
      </c>
      <c r="K32" s="339">
        <f t="shared" si="3"/>
        <v>-6.2607121199793276</v>
      </c>
      <c r="M32" s="339"/>
      <c r="N32" s="339">
        <f t="shared" si="12"/>
        <v>1.0150072928448359</v>
      </c>
      <c r="O32" s="344"/>
      <c r="U32" s="318"/>
      <c r="V32" s="318">
        <f>R17*1.0127</f>
        <v>1571.5723291603636</v>
      </c>
      <c r="Y32" s="317"/>
    </row>
    <row r="33" spans="1:25" ht="18.75">
      <c r="A33" s="343" t="s">
        <v>6918</v>
      </c>
      <c r="B33" s="333" t="s">
        <v>4216</v>
      </c>
      <c r="C33" s="330">
        <v>1369</v>
      </c>
      <c r="D33" s="475">
        <v>59899</v>
      </c>
      <c r="E33" s="335" t="s">
        <v>5259</v>
      </c>
      <c r="F33" s="334">
        <v>531.25</v>
      </c>
      <c r="G33" s="464">
        <f t="shared" ref="G33:G35" si="14">C33*D33*0.9912/(F33*1.003631981)</f>
        <v>152444.19056984287</v>
      </c>
      <c r="H33" s="356">
        <f t="shared" si="13"/>
        <v>2.5769411764705881</v>
      </c>
      <c r="I33" s="336">
        <f t="shared" si="11"/>
        <v>2.6366843033509699</v>
      </c>
      <c r="J33" s="339">
        <f t="shared" si="2"/>
        <v>1.0231837371477011</v>
      </c>
      <c r="K33" s="339">
        <f t="shared" si="3"/>
        <v>-4.8258430060987623</v>
      </c>
      <c r="L33" s="339"/>
      <c r="M33" s="339"/>
      <c r="N33" s="339">
        <f t="shared" ref="N33:N35" si="15">H33/H32</f>
        <v>1.0149001009817253</v>
      </c>
      <c r="O33" s="344"/>
      <c r="U33" s="318"/>
      <c r="V33" s="318"/>
      <c r="Y33" s="317"/>
    </row>
    <row r="34" spans="1:25" ht="18.75">
      <c r="A34" s="343" t="s">
        <v>6920</v>
      </c>
      <c r="B34" s="333" t="s">
        <v>4216</v>
      </c>
      <c r="C34" s="330">
        <v>1329</v>
      </c>
      <c r="D34" s="475">
        <v>50000</v>
      </c>
      <c r="E34" s="335" t="s">
        <v>5259</v>
      </c>
      <c r="F34" s="334">
        <v>511.48</v>
      </c>
      <c r="G34" s="464">
        <f t="shared" si="14"/>
        <v>128307.82123007737</v>
      </c>
      <c r="H34" s="356">
        <f t="shared" si="13"/>
        <v>2.5983420661609444</v>
      </c>
      <c r="I34" s="336">
        <f t="shared" si="11"/>
        <v>2.6366843033509699</v>
      </c>
      <c r="J34" s="339">
        <f t="shared" ref="J34" si="16">I34/H34</f>
        <v>1.0147564239864215</v>
      </c>
      <c r="K34" s="339">
        <f t="shared" ref="K34" si="17">(1/J34-1.0256)*100</f>
        <v>-4.0141838452671941</v>
      </c>
      <c r="L34" s="339"/>
      <c r="M34" s="339"/>
      <c r="N34" s="339">
        <f t="shared" si="15"/>
        <v>1.0083047645346981</v>
      </c>
      <c r="O34" s="344"/>
      <c r="Q34" s="180">
        <v>11790</v>
      </c>
      <c r="R34" s="180">
        <v>30724</v>
      </c>
      <c r="U34" s="318">
        <f>Q19/1.00125</f>
        <v>1154351.0611735331</v>
      </c>
      <c r="V34" s="318">
        <f>Q19*1.0025</f>
        <v>1158683.4849999999</v>
      </c>
      <c r="Y34" s="317"/>
    </row>
    <row r="35" spans="1:25" ht="18.75">
      <c r="A35" s="343" t="s">
        <v>6920</v>
      </c>
      <c r="B35" s="333" t="s">
        <v>4216</v>
      </c>
      <c r="C35" s="330">
        <v>1322</v>
      </c>
      <c r="D35" s="475">
        <v>685452.77049999998</v>
      </c>
      <c r="E35" s="335" t="s">
        <v>5259</v>
      </c>
      <c r="F35" s="334">
        <v>508</v>
      </c>
      <c r="G35" s="464">
        <f t="shared" si="14"/>
        <v>1761700.5121141046</v>
      </c>
      <c r="H35" s="356">
        <f t="shared" ref="H35" si="18">C35/F35</f>
        <v>2.6023622047244093</v>
      </c>
      <c r="I35" s="336">
        <f t="shared" si="11"/>
        <v>2.6366843033509699</v>
      </c>
      <c r="J35" s="339">
        <f>I35/H35</f>
        <v>1.0131888245856981</v>
      </c>
      <c r="K35" s="339">
        <f t="shared" ref="K35" si="19">(1/J35-1.0256)*100</f>
        <v>-3.8617143760040218</v>
      </c>
      <c r="L35" s="339"/>
      <c r="M35" s="339"/>
      <c r="N35" s="339">
        <f t="shared" si="15"/>
        <v>1.0015471937339662</v>
      </c>
      <c r="O35" s="344"/>
      <c r="P35" t="s">
        <v>25</v>
      </c>
      <c r="Q35" s="180">
        <f>Q34*R35/R34</f>
        <v>9878.2118213774247</v>
      </c>
      <c r="R35" s="180">
        <v>25742</v>
      </c>
      <c r="T35" t="s">
        <v>25</v>
      </c>
      <c r="U35" s="317" t="s">
        <v>25</v>
      </c>
      <c r="W35" s="317"/>
      <c r="Y35" s="317"/>
    </row>
    <row r="36" spans="1:25" ht="18.75">
      <c r="A36" s="343" t="s">
        <v>6978</v>
      </c>
      <c r="B36" s="333" t="s">
        <v>4216</v>
      </c>
      <c r="C36" s="330">
        <v>1485.5</v>
      </c>
      <c r="D36" s="475">
        <v>4000</v>
      </c>
      <c r="E36" s="335" t="s">
        <v>5259</v>
      </c>
      <c r="F36" s="334">
        <v>572</v>
      </c>
      <c r="G36" s="464">
        <f t="shared" ref="G36" si="20">C36*D36*0.9912/(F36*1.003631981)</f>
        <v>10259.434432566673</v>
      </c>
      <c r="H36" s="356">
        <f>C36/F36</f>
        <v>2.5970279720279721</v>
      </c>
      <c r="I36" s="336">
        <f t="shared" si="11"/>
        <v>2.6366843033509699</v>
      </c>
      <c r="J36" s="339">
        <f t="shared" ref="J36" si="21">I36/H36</f>
        <v>1.0152698899473274</v>
      </c>
      <c r="K36" s="339">
        <f t="shared" ref="K36" si="22">(1/J36-1.0256)*100</f>
        <v>-4.064022733119721</v>
      </c>
      <c r="L36" s="339"/>
      <c r="M36" s="339"/>
      <c r="N36" s="339">
        <f t="shared" ref="N36" si="23">H36/H35</f>
        <v>0.9979502343345007</v>
      </c>
      <c r="O36" s="344"/>
      <c r="P36" s="483"/>
      <c r="Q36" s="180">
        <f>Q34-Q35</f>
        <v>1911.7881786225753</v>
      </c>
      <c r="R36" s="180">
        <f>R34-R35</f>
        <v>4982</v>
      </c>
    </row>
    <row r="37" spans="1:25" ht="18.75">
      <c r="A37" s="343" t="s">
        <v>6978</v>
      </c>
      <c r="B37" s="333" t="s">
        <v>4216</v>
      </c>
      <c r="C37" s="330">
        <v>1495</v>
      </c>
      <c r="D37" s="475">
        <v>33000</v>
      </c>
      <c r="E37" s="335" t="s">
        <v>5259</v>
      </c>
      <c r="F37" s="334">
        <v>573</v>
      </c>
      <c r="G37" s="464">
        <f t="shared" ref="G37:G41" si="24">C37*D37*0.9912/(F37*1.003631981)</f>
        <v>85032.962941343751</v>
      </c>
      <c r="H37" s="356">
        <f t="shared" ref="H37" si="25">C37/F37</f>
        <v>2.6090750436300176</v>
      </c>
      <c r="I37" s="336">
        <f t="shared" si="11"/>
        <v>2.6366843033509699</v>
      </c>
      <c r="J37" s="339">
        <f t="shared" ref="J37" si="26">I37/H37</f>
        <v>1.0105820105820105</v>
      </c>
      <c r="K37" s="339">
        <f t="shared" ref="K37" si="27">(1/J37-1.0256)*100</f>
        <v>-3.6071204188481643</v>
      </c>
      <c r="L37" s="339"/>
      <c r="M37" s="339"/>
      <c r="N37" s="339">
        <f t="shared" ref="N37" si="28">H37/H36</f>
        <v>1.0046387916232717</v>
      </c>
      <c r="O37" s="344"/>
      <c r="P37" s="483"/>
      <c r="Q37" s="474"/>
      <c r="T37" t="s">
        <v>25</v>
      </c>
    </row>
    <row r="38" spans="1:25" ht="18.75">
      <c r="A38" s="343" t="s">
        <v>6978</v>
      </c>
      <c r="B38" s="333" t="s">
        <v>4216</v>
      </c>
      <c r="C38" s="330">
        <v>1498</v>
      </c>
      <c r="D38" s="475">
        <v>10000</v>
      </c>
      <c r="E38" s="335" t="s">
        <v>5259</v>
      </c>
      <c r="F38" s="334">
        <v>573</v>
      </c>
      <c r="G38" s="464">
        <f t="shared" si="24"/>
        <v>25819.272015026439</v>
      </c>
      <c r="H38" s="356">
        <f t="shared" ref="H38:H42" si="29">C38/F38</f>
        <v>2.6143106457242582</v>
      </c>
      <c r="I38" s="336">
        <f t="shared" si="11"/>
        <v>2.6366843033509699</v>
      </c>
      <c r="J38" s="339">
        <f t="shared" ref="J38" si="30">I38/H38</f>
        <v>1.0085581480775072</v>
      </c>
      <c r="K38" s="339">
        <f t="shared" ref="K38" si="31">(1/J38-1.0256)*100</f>
        <v>-3.4085527675147609</v>
      </c>
      <c r="L38" s="339"/>
      <c r="M38" s="339"/>
      <c r="N38" s="339">
        <f t="shared" ref="N38" si="32">H38/H37</f>
        <v>1.0020066889632107</v>
      </c>
      <c r="O38" s="344"/>
    </row>
    <row r="39" spans="1:25" ht="18.75">
      <c r="A39" s="343" t="s">
        <v>6980</v>
      </c>
      <c r="B39" s="333" t="s">
        <v>4216</v>
      </c>
      <c r="C39" s="330">
        <v>1490</v>
      </c>
      <c r="D39" s="475">
        <v>10000</v>
      </c>
      <c r="E39" s="335" t="s">
        <v>5259</v>
      </c>
      <c r="F39" s="334">
        <v>567.47</v>
      </c>
      <c r="G39" s="464">
        <f t="shared" si="24"/>
        <v>25931.650702142269</v>
      </c>
      <c r="H39" s="356">
        <f t="shared" si="29"/>
        <v>2.6256894637601986</v>
      </c>
      <c r="I39" s="336">
        <f t="shared" si="11"/>
        <v>2.6366843033509699</v>
      </c>
      <c r="J39" s="339">
        <f t="shared" ref="J39:J42" si="33">I39/H39</f>
        <v>1.0041874104849497</v>
      </c>
      <c r="K39" s="339">
        <f t="shared" ref="K39:K42" si="34">(1/J39-1.0256)*100</f>
        <v>-2.9769949195964873</v>
      </c>
      <c r="L39" s="339"/>
      <c r="M39" s="339"/>
      <c r="N39" s="339">
        <f t="shared" ref="N39:N42" si="35">H39/H38</f>
        <v>1.0043525118388477</v>
      </c>
      <c r="O39" s="344"/>
      <c r="P39" s="479"/>
    </row>
    <row r="40" spans="1:25" ht="18.75">
      <c r="A40" s="343" t="s">
        <v>6983</v>
      </c>
      <c r="B40" s="333" t="s">
        <v>4216</v>
      </c>
      <c r="C40" s="330">
        <v>1460</v>
      </c>
      <c r="D40" s="475">
        <v>1911.7881789999999</v>
      </c>
      <c r="E40" s="335" t="s">
        <v>5259</v>
      </c>
      <c r="F40" s="334">
        <v>553.32000000000005</v>
      </c>
      <c r="G40" s="464">
        <f t="shared" si="24"/>
        <v>4981.9924042245439</v>
      </c>
      <c r="H40" s="356">
        <f t="shared" si="29"/>
        <v>2.6386177980192294</v>
      </c>
      <c r="I40" s="336">
        <f t="shared" si="11"/>
        <v>2.6366843033509699</v>
      </c>
      <c r="J40" s="339">
        <f t="shared" si="33"/>
        <v>0.99926723200695799</v>
      </c>
      <c r="K40" s="339">
        <f t="shared" si="34"/>
        <v>-2.4866694664278821</v>
      </c>
      <c r="L40" s="339"/>
      <c r="M40" s="339"/>
      <c r="N40" s="339">
        <f t="shared" si="35"/>
        <v>1.0049237864711222</v>
      </c>
      <c r="O40" s="344"/>
      <c r="P40" s="484"/>
      <c r="V40" t="s">
        <v>25</v>
      </c>
    </row>
    <row r="41" spans="1:25" ht="18.75" customHeight="1">
      <c r="A41" s="343" t="s">
        <v>6956</v>
      </c>
      <c r="B41" s="333" t="s">
        <v>4216</v>
      </c>
      <c r="C41" s="330">
        <v>1461.76</v>
      </c>
      <c r="D41" s="475">
        <v>1</v>
      </c>
      <c r="E41" s="335" t="s">
        <v>5259</v>
      </c>
      <c r="F41" s="334">
        <v>542.70299999999997</v>
      </c>
      <c r="G41" s="464">
        <f t="shared" si="24"/>
        <v>2.6601164744612706</v>
      </c>
      <c r="H41" s="356">
        <f t="shared" si="29"/>
        <v>2.6934805962008688</v>
      </c>
      <c r="I41" s="336">
        <f t="shared" si="11"/>
        <v>2.6366843033509699</v>
      </c>
      <c r="J41" s="339">
        <f t="shared" si="33"/>
        <v>0.97891342045307117</v>
      </c>
      <c r="K41" s="339">
        <f t="shared" si="34"/>
        <v>-0.40591986315099415</v>
      </c>
      <c r="L41" s="339"/>
      <c r="M41" s="339"/>
      <c r="N41" s="339">
        <f t="shared" si="35"/>
        <v>1.0207922489656607</v>
      </c>
      <c r="O41" s="344"/>
      <c r="P41" s="479"/>
    </row>
    <row r="42" spans="1:25" ht="21.75" customHeight="1">
      <c r="A42" s="343"/>
      <c r="B42" s="333"/>
      <c r="C42" s="330" t="s">
        <v>25</v>
      </c>
      <c r="D42" s="475"/>
      <c r="E42" s="335"/>
      <c r="F42" s="334"/>
      <c r="G42" s="464"/>
      <c r="H42" s="356" t="e">
        <f t="shared" si="29"/>
        <v>#VALUE!</v>
      </c>
      <c r="I42" s="336">
        <f t="shared" si="11"/>
        <v>2.6366843033509699</v>
      </c>
      <c r="J42" s="339" t="e">
        <f t="shared" si="33"/>
        <v>#VALUE!</v>
      </c>
      <c r="K42" s="339" t="e">
        <f t="shared" si="34"/>
        <v>#VALUE!</v>
      </c>
      <c r="L42" s="339"/>
      <c r="M42" s="339"/>
      <c r="N42" s="339" t="e">
        <f t="shared" si="35"/>
        <v>#VALUE!</v>
      </c>
      <c r="O42" s="344"/>
      <c r="P42" s="479"/>
      <c r="Q42" s="94" t="s">
        <v>25</v>
      </c>
      <c r="T42" t="s">
        <v>25</v>
      </c>
      <c r="W42" t="s">
        <v>25</v>
      </c>
    </row>
    <row r="43" spans="1:25" ht="18.75">
      <c r="A43" s="343"/>
      <c r="B43" s="333"/>
      <c r="C43" s="330"/>
      <c r="D43" s="475"/>
      <c r="E43" s="335"/>
      <c r="F43" s="334"/>
      <c r="G43" s="464"/>
      <c r="H43" s="356"/>
      <c r="I43" s="336"/>
      <c r="J43" s="339"/>
      <c r="K43" s="339"/>
      <c r="L43" s="339"/>
      <c r="M43" s="339"/>
      <c r="N43" s="339"/>
      <c r="O43" s="344"/>
      <c r="P43" s="40" t="s">
        <v>25</v>
      </c>
      <c r="Q43" s="94" t="s">
        <v>25</v>
      </c>
      <c r="R43" t="s">
        <v>25</v>
      </c>
      <c r="V43" t="s">
        <v>25</v>
      </c>
    </row>
    <row r="44" spans="1:25" ht="18.75" customHeight="1">
      <c r="A44" s="437" t="s">
        <v>6966</v>
      </c>
      <c r="B44" s="335"/>
      <c r="C44" s="334">
        <v>591.5</v>
      </c>
      <c r="D44" s="464">
        <v>387139</v>
      </c>
      <c r="E44" s="333"/>
      <c r="F44" s="330">
        <v>1551.86</v>
      </c>
      <c r="G44" s="475">
        <f t="shared" ref="G44" si="36">C44*D44*0.9912/(F44*1.003631981)</f>
        <v>145732.33900016849</v>
      </c>
      <c r="H44" s="438">
        <f t="shared" ref="H44" si="37">C44/F44</f>
        <v>0.38115551660587943</v>
      </c>
      <c r="I44" s="332">
        <f>$R$25/$R$24</f>
        <v>0.37926421404682276</v>
      </c>
      <c r="J44" s="339">
        <f>I44/H44</f>
        <v>0.99503797668757787</v>
      </c>
      <c r="K44" s="339">
        <f>(1/J44-1.0256)*100</f>
        <v>-2.0613232229647727</v>
      </c>
      <c r="L44" s="339"/>
      <c r="M44" s="339"/>
      <c r="N44" s="480">
        <v>1</v>
      </c>
      <c r="O44" s="344"/>
      <c r="P44" s="40"/>
      <c r="R44" t="s">
        <v>25</v>
      </c>
      <c r="X44" s="416"/>
    </row>
    <row r="45" spans="1:25" ht="20.25" customHeight="1">
      <c r="A45" s="328" t="s">
        <v>5757</v>
      </c>
      <c r="B45" s="328" t="s">
        <v>4354</v>
      </c>
      <c r="C45" s="327">
        <v>146.50869674817241</v>
      </c>
      <c r="D45" s="328">
        <v>708506.20000000007</v>
      </c>
      <c r="E45" s="335" t="s">
        <v>6746</v>
      </c>
      <c r="F45" s="334">
        <v>394</v>
      </c>
      <c r="G45" s="335">
        <f t="shared" ref="G45:G50" si="38">C45*D45*0.99114/(F45*1.0037158)</f>
        <v>260156.73964975364</v>
      </c>
      <c r="H45" s="335">
        <f t="shared" ref="H45:H50" si="39">C45/F45</f>
        <v>0.37184948413241731</v>
      </c>
      <c r="I45" s="335">
        <f>$R$28/$R$25</f>
        <v>0.47971781305114636</v>
      </c>
      <c r="J45" s="32">
        <f t="shared" ref="J45:J50" si="40">I45/H45</f>
        <v>1.2900859985604192</v>
      </c>
      <c r="K45" s="32">
        <f t="shared" ref="K45:K50" si="41">(1/J45-1.0256)*100</f>
        <v>-25.045787682690946</v>
      </c>
      <c r="L45" s="339"/>
      <c r="M45" s="32"/>
      <c r="N45" s="339">
        <v>1</v>
      </c>
      <c r="O45" s="344"/>
      <c r="P45" s="40" t="s">
        <v>25</v>
      </c>
      <c r="Q45" t="s">
        <v>25</v>
      </c>
      <c r="T45" s="408"/>
      <c r="X45" s="416"/>
    </row>
    <row r="46" spans="1:25" ht="21">
      <c r="A46" s="328" t="s">
        <v>5758</v>
      </c>
      <c r="B46" s="328" t="s">
        <v>4354</v>
      </c>
      <c r="C46" s="327">
        <v>146.35744895386941</v>
      </c>
      <c r="D46" s="328">
        <v>27927.68</v>
      </c>
      <c r="E46" s="335" t="s">
        <v>6746</v>
      </c>
      <c r="F46" s="334">
        <v>389</v>
      </c>
      <c r="G46" s="335">
        <f t="shared" si="38"/>
        <v>10375.865470549825</v>
      </c>
      <c r="H46" s="335">
        <f t="shared" si="39"/>
        <v>0.37624022867318613</v>
      </c>
      <c r="I46" s="335">
        <f>$R$28/$R$25</f>
        <v>0.47971781305114636</v>
      </c>
      <c r="J46" s="32">
        <f t="shared" si="40"/>
        <v>1.2750306227031454</v>
      </c>
      <c r="K46" s="345">
        <f t="shared" si="41"/>
        <v>-24.130511155258628</v>
      </c>
      <c r="L46" s="32" t="s">
        <v>25</v>
      </c>
      <c r="M46" s="32" t="s">
        <v>25</v>
      </c>
      <c r="N46" s="32">
        <f>H46/H45</f>
        <v>1.0118078543285145</v>
      </c>
      <c r="O46" s="40"/>
      <c r="P46" s="40"/>
      <c r="Q46" s="94"/>
      <c r="T46" s="408"/>
    </row>
    <row r="47" spans="1:25" ht="21">
      <c r="A47" s="346" t="s">
        <v>6400</v>
      </c>
      <c r="B47" s="346" t="s">
        <v>5834</v>
      </c>
      <c r="C47" s="337">
        <v>3112</v>
      </c>
      <c r="D47" s="346">
        <v>227</v>
      </c>
      <c r="E47" s="333" t="s">
        <v>4216</v>
      </c>
      <c r="F47" s="333">
        <v>1612.1159</v>
      </c>
      <c r="G47" s="333">
        <f t="shared" si="38"/>
        <v>432.70650792078322</v>
      </c>
      <c r="H47" s="333">
        <f t="shared" si="39"/>
        <v>1.9303823006770171</v>
      </c>
      <c r="I47" s="333">
        <f>$R$23/$R$24</f>
        <v>2.117725752508361</v>
      </c>
      <c r="J47" s="32">
        <f t="shared" si="40"/>
        <v>1.0970499220624015</v>
      </c>
      <c r="K47" s="345">
        <f t="shared" si="41"/>
        <v>-11.406445372326568</v>
      </c>
      <c r="L47" s="32" t="s">
        <v>25</v>
      </c>
      <c r="M47" s="32" t="s">
        <v>25</v>
      </c>
      <c r="N47" s="32">
        <v>1</v>
      </c>
      <c r="O47" s="40"/>
      <c r="Q47" s="94"/>
      <c r="S47" t="s">
        <v>25</v>
      </c>
      <c r="T47" t="s">
        <v>25</v>
      </c>
    </row>
    <row r="48" spans="1:25" ht="21">
      <c r="A48" s="346" t="s">
        <v>6400</v>
      </c>
      <c r="B48" s="346" t="s">
        <v>5834</v>
      </c>
      <c r="C48" s="337">
        <v>3178</v>
      </c>
      <c r="D48" s="346">
        <v>7791</v>
      </c>
      <c r="E48" s="335" t="s">
        <v>5259</v>
      </c>
      <c r="F48" s="335">
        <v>645.41999999999996</v>
      </c>
      <c r="G48" s="335">
        <f t="shared" si="38"/>
        <v>37881.652960140629</v>
      </c>
      <c r="H48" s="335">
        <f t="shared" si="39"/>
        <v>4.9239255058721456</v>
      </c>
      <c r="I48" s="335">
        <f>$R$23/$R$25</f>
        <v>5.5837742504409169</v>
      </c>
      <c r="J48" s="32">
        <f t="shared" si="40"/>
        <v>1.1340086773818681</v>
      </c>
      <c r="K48" s="345">
        <f t="shared" si="41"/>
        <v>-14.377253258701639</v>
      </c>
      <c r="L48" s="32" t="s">
        <v>25</v>
      </c>
      <c r="M48" s="32" t="s">
        <v>25</v>
      </c>
      <c r="N48" s="32">
        <v>1</v>
      </c>
      <c r="O48" s="40"/>
      <c r="Q48" s="94"/>
    </row>
    <row r="49" spans="1:23" ht="21">
      <c r="A49" s="333" t="s">
        <v>6831</v>
      </c>
      <c r="B49" s="333" t="s">
        <v>4216</v>
      </c>
      <c r="C49" s="330">
        <v>1303.7877853177051</v>
      </c>
      <c r="D49" s="333">
        <v>1.1351540616246498</v>
      </c>
      <c r="E49" s="377" t="s">
        <v>4651</v>
      </c>
      <c r="F49" s="377">
        <v>666</v>
      </c>
      <c r="G49" s="377">
        <f t="shared" si="38"/>
        <v>2.1943794581427665</v>
      </c>
      <c r="H49" s="377">
        <f t="shared" si="39"/>
        <v>1.9576393172938515</v>
      </c>
      <c r="I49" s="377">
        <f>$R$24/$R$29</f>
        <v>1.6611111111111112</v>
      </c>
      <c r="J49" s="32">
        <f t="shared" si="40"/>
        <v>0.84852766106442579</v>
      </c>
      <c r="K49" s="345">
        <f t="shared" si="41"/>
        <v>15.291196358827165</v>
      </c>
      <c r="L49" s="32" t="s">
        <v>25</v>
      </c>
      <c r="M49" s="32" t="s">
        <v>25</v>
      </c>
      <c r="N49" s="32">
        <v>1</v>
      </c>
      <c r="O49" s="40"/>
      <c r="P49" s="406" t="s">
        <v>25</v>
      </c>
      <c r="Q49" s="94" t="s">
        <v>25</v>
      </c>
      <c r="R49" t="s">
        <v>25</v>
      </c>
    </row>
    <row r="50" spans="1:23">
      <c r="A50" s="333" t="s">
        <v>6702</v>
      </c>
      <c r="B50" s="333" t="s">
        <v>4216</v>
      </c>
      <c r="C50" s="330">
        <v>1355.3226403454657</v>
      </c>
      <c r="D50" s="333">
        <v>1.1351540616246498</v>
      </c>
      <c r="E50" s="347" t="s">
        <v>5788</v>
      </c>
      <c r="F50" s="347">
        <v>1353</v>
      </c>
      <c r="G50" s="347">
        <f t="shared" si="38"/>
        <v>1.1228556972348047</v>
      </c>
      <c r="H50" s="347">
        <f t="shared" si="39"/>
        <v>1.0017166595310167</v>
      </c>
      <c r="I50" s="347">
        <f>$R$24/$R$26</f>
        <v>0.83753501400560226</v>
      </c>
      <c r="J50" s="32">
        <f t="shared" si="40"/>
        <v>0.83609971546017714</v>
      </c>
      <c r="K50" s="32">
        <f t="shared" si="41"/>
        <v>17.042959014238445</v>
      </c>
      <c r="L50" s="32"/>
      <c r="M50" s="32"/>
      <c r="N50" s="32">
        <v>1</v>
      </c>
      <c r="O50" s="40"/>
      <c r="P50" s="406"/>
      <c r="Q50" s="425"/>
      <c r="R50" t="s">
        <v>25</v>
      </c>
    </row>
    <row r="51" spans="1:23">
      <c r="A51" s="94"/>
      <c r="B51" s="113"/>
      <c r="C51" s="113"/>
      <c r="D51" s="94"/>
      <c r="E51" s="94"/>
      <c r="F51" s="94"/>
      <c r="G51" s="94"/>
      <c r="H51" s="94"/>
      <c r="I51" s="94"/>
      <c r="J51" s="94"/>
      <c r="K51" s="94"/>
      <c r="L51" s="94"/>
      <c r="M51" s="94"/>
      <c r="N51" s="94"/>
      <c r="O51" s="344"/>
      <c r="P51" s="406"/>
      <c r="Q51" s="94"/>
      <c r="S51" t="s">
        <v>25</v>
      </c>
    </row>
    <row r="52" spans="1:23" ht="36.75" customHeight="1">
      <c r="A52" s="401" t="s">
        <v>6824</v>
      </c>
      <c r="B52" s="315" t="s">
        <v>1068</v>
      </c>
      <c r="C52" s="44">
        <v>11500000</v>
      </c>
      <c r="D52" s="315">
        <v>1</v>
      </c>
      <c r="E52" s="271" t="s">
        <v>4216</v>
      </c>
      <c r="F52" s="272">
        <v>1188.8254164096238</v>
      </c>
      <c r="G52" s="271">
        <f>C52*D52*0.99875/(F52*1.0037158)</f>
        <v>9625.5552359170815</v>
      </c>
      <c r="H52" s="402">
        <f>C52/F52</f>
        <v>9673.4136411140953</v>
      </c>
      <c r="I52" s="403">
        <f>$R$30/$R$24</f>
        <v>9431.4381270903014</v>
      </c>
      <c r="J52" s="20">
        <f>I52/H52</f>
        <v>0.974985509459107</v>
      </c>
      <c r="K52" s="20">
        <f>(1/J52-1.0153)*100</f>
        <v>1.0356269040111332</v>
      </c>
      <c r="L52" s="20"/>
      <c r="M52" s="20"/>
      <c r="N52" s="20">
        <f>1</f>
        <v>1</v>
      </c>
      <c r="Q52" s="439"/>
      <c r="R52" t="s">
        <v>25</v>
      </c>
      <c r="S52" t="s">
        <v>25</v>
      </c>
      <c r="W52" t="s">
        <v>25</v>
      </c>
    </row>
    <row r="53" spans="1:23" ht="25.5" customHeight="1">
      <c r="A53" s="401" t="s">
        <v>6823</v>
      </c>
      <c r="B53" s="315" t="s">
        <v>1068</v>
      </c>
      <c r="C53" s="44">
        <v>12700000</v>
      </c>
      <c r="D53" s="315">
        <v>1</v>
      </c>
      <c r="E53" s="271" t="s">
        <v>4216</v>
      </c>
      <c r="F53" s="272">
        <v>1220.9796421961753</v>
      </c>
      <c r="G53" s="271">
        <f>C53*D53*0.99875/(F53*1.0037158)</f>
        <v>10350.023354291381</v>
      </c>
      <c r="H53" s="402">
        <f>C53/F53</f>
        <v>10401.483825853573</v>
      </c>
      <c r="I53" s="403">
        <f>$R$30/$R$24</f>
        <v>9431.4381270903014</v>
      </c>
      <c r="J53" s="20">
        <f>I53/H53</f>
        <v>0.90673968108740799</v>
      </c>
      <c r="K53" s="20">
        <f>(1/J53-1.0153)*100</f>
        <v>8.7552363095821928</v>
      </c>
      <c r="L53" s="259" t="s">
        <v>6839</v>
      </c>
      <c r="M53" s="20"/>
      <c r="N53" s="20">
        <f>1</f>
        <v>1</v>
      </c>
      <c r="O53" s="406"/>
      <c r="P53" s="425"/>
      <c r="Q53" s="439" t="s">
        <v>25</v>
      </c>
      <c r="R53" t="s">
        <v>25</v>
      </c>
    </row>
    <row r="54" spans="1:23">
      <c r="A54" s="401"/>
      <c r="B54" s="315"/>
      <c r="C54" s="44"/>
      <c r="D54" s="315"/>
      <c r="E54" s="271" t="s">
        <v>4216</v>
      </c>
      <c r="F54" s="272">
        <v>0</v>
      </c>
      <c r="G54" s="271" t="e">
        <f>C54*D54*0.99875/(F54*1.0037158)</f>
        <v>#DIV/0!</v>
      </c>
      <c r="H54" s="402" t="e">
        <f>C54/F54</f>
        <v>#DIV/0!</v>
      </c>
      <c r="I54" s="403">
        <f>$R$30/$R$24</f>
        <v>9431.4381270903014</v>
      </c>
      <c r="J54" s="20" t="e">
        <f>I54/H54</f>
        <v>#DIV/0!</v>
      </c>
      <c r="K54" s="20" t="e">
        <f>(1/J54-1.0153)*100</f>
        <v>#DIV/0!</v>
      </c>
      <c r="L54" s="20"/>
      <c r="M54" s="20"/>
      <c r="N54" s="20">
        <f>1</f>
        <v>1</v>
      </c>
      <c r="O54" s="406"/>
      <c r="P54" s="425" t="s">
        <v>25</v>
      </c>
      <c r="Q54" s="439"/>
    </row>
    <row r="55" spans="1:23">
      <c r="A55" s="426"/>
      <c r="B55" s="427"/>
      <c r="C55" s="428"/>
      <c r="D55" s="427"/>
      <c r="E55" s="429"/>
      <c r="F55" s="430"/>
      <c r="G55" s="429"/>
      <c r="H55" s="431"/>
      <c r="I55" s="431"/>
      <c r="J55" s="432"/>
      <c r="K55" s="432"/>
      <c r="L55" s="432"/>
      <c r="M55" s="432"/>
      <c r="N55" s="432"/>
      <c r="O55" s="406"/>
      <c r="P55" s="443"/>
      <c r="Q55" s="439"/>
    </row>
    <row r="56" spans="1:23" ht="42.75" customHeight="1">
      <c r="A56" s="401" t="s">
        <v>6887</v>
      </c>
      <c r="B56" s="315" t="s">
        <v>6888</v>
      </c>
      <c r="C56" s="44">
        <v>135735000</v>
      </c>
      <c r="D56" s="315">
        <v>416.55</v>
      </c>
      <c r="E56" s="271" t="s">
        <v>5259</v>
      </c>
      <c r="F56" s="272">
        <f>C56/(D56*1.003631981)</f>
        <v>324676.0223228187</v>
      </c>
      <c r="G56" s="271"/>
      <c r="H56" s="402" t="s">
        <v>6889</v>
      </c>
      <c r="I56" s="402">
        <f>138500000/(F56*0.9912)</f>
        <v>430.36630688697352</v>
      </c>
      <c r="J56" s="20"/>
      <c r="K56" s="20"/>
      <c r="L56" s="20"/>
      <c r="M56" s="20"/>
      <c r="N56" s="20"/>
      <c r="O56" s="425"/>
      <c r="P56" s="443" t="s">
        <v>25</v>
      </c>
      <c r="Q56" s="439"/>
    </row>
    <row r="57" spans="1:23" ht="33" customHeight="1">
      <c r="A57" s="441"/>
      <c r="B57" s="120"/>
      <c r="C57" s="56"/>
      <c r="D57" s="120"/>
      <c r="E57" s="120"/>
      <c r="F57" s="56"/>
      <c r="G57" s="120"/>
      <c r="H57" s="442"/>
      <c r="I57" s="442"/>
      <c r="J57" s="120"/>
      <c r="K57" s="120"/>
      <c r="L57" s="120"/>
      <c r="M57" s="120"/>
      <c r="N57" s="120"/>
      <c r="O57" s="425"/>
      <c r="P57" s="443" t="s">
        <v>25</v>
      </c>
      <c r="Q57" s="439"/>
      <c r="R57" t="s">
        <v>25</v>
      </c>
    </row>
    <row r="58" spans="1:23" ht="20.25" customHeight="1">
      <c r="A58" s="444" t="s">
        <v>5504</v>
      </c>
      <c r="B58" s="67"/>
      <c r="C58" s="167"/>
      <c r="D58" s="67"/>
      <c r="E58" s="67"/>
      <c r="F58" s="167"/>
      <c r="G58" s="67"/>
      <c r="H58" s="54"/>
      <c r="I58" s="54"/>
      <c r="J58" s="67"/>
      <c r="K58" s="67"/>
      <c r="L58" s="67"/>
      <c r="M58" s="67"/>
      <c r="N58" s="67"/>
      <c r="O58" s="443"/>
      <c r="P58" s="443"/>
      <c r="Q58" s="439"/>
    </row>
    <row r="59" spans="1:23">
      <c r="A59" s="444"/>
      <c r="B59" s="67"/>
      <c r="C59" s="167"/>
      <c r="D59" s="67"/>
      <c r="E59" s="67"/>
      <c r="F59" s="167"/>
      <c r="G59" s="67"/>
      <c r="H59" s="54"/>
      <c r="I59" s="54"/>
      <c r="J59" s="67"/>
      <c r="K59" s="67"/>
      <c r="L59" s="67"/>
      <c r="M59" s="67"/>
      <c r="N59" s="67"/>
      <c r="O59" s="443"/>
      <c r="P59" s="443"/>
      <c r="Q59" s="439"/>
      <c r="R59" s="94"/>
    </row>
    <row r="60" spans="1:23">
      <c r="A60" s="444"/>
      <c r="B60" s="67"/>
      <c r="C60" s="167"/>
      <c r="D60" s="67"/>
      <c r="E60" s="67"/>
      <c r="F60" s="167"/>
      <c r="G60" s="67"/>
      <c r="H60" s="54"/>
      <c r="I60" s="54"/>
      <c r="J60" s="67"/>
      <c r="K60" s="67"/>
      <c r="L60" s="67"/>
      <c r="M60" s="67"/>
      <c r="N60" s="67"/>
      <c r="O60" s="443"/>
      <c r="P60" s="443"/>
      <c r="Q60" s="439"/>
      <c r="R60" s="94"/>
    </row>
    <row r="61" spans="1:23">
      <c r="A61" s="444"/>
      <c r="B61" s="67"/>
      <c r="C61" s="167"/>
      <c r="D61" s="67"/>
      <c r="E61" s="67"/>
      <c r="F61" s="167"/>
      <c r="G61" s="67"/>
      <c r="H61" s="54"/>
      <c r="I61" s="54"/>
      <c r="J61" s="67"/>
      <c r="K61" s="67"/>
      <c r="L61" s="67"/>
      <c r="M61" s="67"/>
      <c r="N61" s="67"/>
      <c r="O61" s="443"/>
      <c r="P61" s="443"/>
      <c r="Q61" s="94"/>
      <c r="R61" s="94"/>
    </row>
    <row r="62" spans="1:23" ht="24" customHeight="1">
      <c r="A62" s="444"/>
      <c r="B62" s="67"/>
      <c r="C62" s="167"/>
      <c r="D62" s="67"/>
      <c r="E62" s="67"/>
      <c r="F62" s="167"/>
      <c r="G62" s="67"/>
      <c r="H62" s="54"/>
      <c r="I62" s="54"/>
      <c r="J62" s="67"/>
      <c r="K62" s="67"/>
      <c r="L62" s="67"/>
      <c r="M62" s="67"/>
      <c r="N62" s="67"/>
      <c r="O62" s="443"/>
      <c r="P62" s="443"/>
      <c r="Q62" s="94"/>
      <c r="R62" s="94"/>
    </row>
    <row r="63" spans="1:23">
      <c r="A63" s="444"/>
      <c r="B63" s="67"/>
      <c r="C63" s="167"/>
      <c r="D63" s="67"/>
      <c r="E63" s="67"/>
      <c r="F63" s="167"/>
      <c r="G63" s="67"/>
      <c r="H63" s="54"/>
      <c r="I63" s="54"/>
      <c r="J63" s="67"/>
      <c r="K63" s="67"/>
      <c r="L63" s="67"/>
      <c r="M63" s="67"/>
      <c r="N63" s="67"/>
      <c r="O63" s="443"/>
      <c r="P63" s="443"/>
      <c r="Q63" s="94"/>
      <c r="R63" s="94"/>
    </row>
    <row r="64" spans="1:23">
      <c r="A64" s="444"/>
      <c r="B64" s="67"/>
      <c r="C64" s="167"/>
      <c r="D64" s="67"/>
      <c r="E64" s="67"/>
      <c r="F64" s="167"/>
      <c r="G64" s="67"/>
      <c r="H64" s="54"/>
      <c r="I64" s="54"/>
      <c r="J64" s="67"/>
      <c r="K64" s="67"/>
      <c r="L64" s="67"/>
      <c r="M64" s="67"/>
      <c r="N64" s="67"/>
      <c r="O64" s="443"/>
      <c r="P64" s="443"/>
      <c r="Q64" s="94"/>
      <c r="R64" s="94"/>
      <c r="S64" s="94"/>
    </row>
    <row r="65" spans="1:20">
      <c r="A65" s="444"/>
      <c r="B65" s="67"/>
      <c r="C65" s="167"/>
      <c r="D65" s="67"/>
      <c r="E65" s="67"/>
      <c r="F65" s="167"/>
      <c r="G65" s="67"/>
      <c r="H65" s="54"/>
      <c r="I65" s="54"/>
      <c r="J65" s="67"/>
      <c r="K65" s="67"/>
      <c r="L65" s="67"/>
      <c r="M65" s="67"/>
      <c r="N65" s="67"/>
      <c r="O65" s="443"/>
      <c r="P65" s="443"/>
      <c r="Q65" s="94"/>
      <c r="R65" s="94" t="s">
        <v>25</v>
      </c>
      <c r="S65" s="94"/>
    </row>
    <row r="66" spans="1:20">
      <c r="A66" s="444"/>
      <c r="B66" s="67"/>
      <c r="C66" s="167"/>
      <c r="D66" s="67"/>
      <c r="E66" s="67"/>
      <c r="F66" s="167"/>
      <c r="G66" s="67"/>
      <c r="H66" s="54"/>
      <c r="I66" s="54"/>
      <c r="J66" s="67"/>
      <c r="K66" s="67"/>
      <c r="L66" s="67"/>
      <c r="M66" s="67"/>
      <c r="N66" s="67"/>
      <c r="O66" s="443"/>
      <c r="P66" s="443" t="s">
        <v>25</v>
      </c>
      <c r="Q66" s="94"/>
      <c r="R66" s="94"/>
      <c r="S66" s="94"/>
    </row>
    <row r="67" spans="1:20">
      <c r="A67" s="443"/>
      <c r="B67" s="443"/>
      <c r="C67" s="443"/>
      <c r="D67" s="443"/>
      <c r="E67" s="443"/>
      <c r="F67" s="443" t="s">
        <v>25</v>
      </c>
      <c r="G67" s="443"/>
      <c r="H67" s="443"/>
      <c r="I67" s="443"/>
      <c r="J67" s="443"/>
      <c r="K67" s="443"/>
      <c r="L67" s="443"/>
      <c r="M67" s="443"/>
      <c r="N67" s="443"/>
      <c r="O67" s="443"/>
      <c r="P67" t="s">
        <v>6273</v>
      </c>
      <c r="Q67" s="94" t="s">
        <v>25</v>
      </c>
      <c r="R67" s="94"/>
      <c r="S67" s="94"/>
    </row>
    <row r="68" spans="1:20">
      <c r="A68" s="113"/>
      <c r="B68" s="113"/>
      <c r="C68" s="113"/>
      <c r="D68" s="113"/>
      <c r="E68" s="113"/>
      <c r="F68" s="113"/>
      <c r="G68" s="113"/>
      <c r="H68" s="113"/>
      <c r="I68" s="113"/>
      <c r="J68" s="113"/>
      <c r="K68" s="113"/>
      <c r="L68" s="113"/>
      <c r="M68" s="113"/>
      <c r="N68" s="113"/>
      <c r="O68" s="443"/>
      <c r="P68">
        <v>1086</v>
      </c>
      <c r="Q68" s="94"/>
      <c r="R68" s="94"/>
      <c r="S68" s="94"/>
      <c r="T68" s="94"/>
    </row>
    <row r="69" spans="1:20">
      <c r="A69" s="97" t="s">
        <v>5506</v>
      </c>
      <c r="B69" s="97"/>
      <c r="C69" s="97" t="s">
        <v>933</v>
      </c>
      <c r="D69" s="97" t="s">
        <v>6270</v>
      </c>
      <c r="E69" s="97"/>
      <c r="F69" s="97" t="s">
        <v>933</v>
      </c>
      <c r="G69" s="97" t="s">
        <v>6271</v>
      </c>
      <c r="H69" s="97"/>
      <c r="I69" s="97"/>
      <c r="J69" s="97"/>
      <c r="K69" s="97"/>
      <c r="L69" s="97" t="s">
        <v>936</v>
      </c>
      <c r="M69" s="97" t="s">
        <v>5</v>
      </c>
      <c r="N69" s="97" t="s">
        <v>6272</v>
      </c>
      <c r="O69" s="443"/>
      <c r="Q69" s="94"/>
      <c r="R69" s="94" t="s">
        <v>25</v>
      </c>
      <c r="S69" s="94"/>
      <c r="T69" s="94"/>
    </row>
    <row r="70" spans="1:20">
      <c r="A70" s="97" t="s">
        <v>5496</v>
      </c>
      <c r="B70" s="97" t="s">
        <v>6269</v>
      </c>
      <c r="C70" s="97">
        <v>17800</v>
      </c>
      <c r="D70" s="97">
        <v>916</v>
      </c>
      <c r="E70" s="97" t="s">
        <v>4354</v>
      </c>
      <c r="F70" s="97">
        <v>16472</v>
      </c>
      <c r="G70" s="97">
        <v>916</v>
      </c>
      <c r="H70" s="97"/>
      <c r="I70" s="97"/>
      <c r="J70" s="97"/>
      <c r="K70" s="97"/>
      <c r="L70" s="93">
        <v>987467</v>
      </c>
      <c r="M70" s="93">
        <f>L70/2</f>
        <v>493733.5</v>
      </c>
      <c r="N70" s="97" t="s">
        <v>5496</v>
      </c>
      <c r="Q70" s="94"/>
      <c r="R70" s="94"/>
      <c r="S70" s="94"/>
      <c r="T70" s="94"/>
    </row>
    <row r="71" spans="1:20">
      <c r="A71" s="269" t="s">
        <v>5718</v>
      </c>
      <c r="B71" s="417" t="s">
        <v>6348</v>
      </c>
      <c r="C71" s="269">
        <v>21532</v>
      </c>
      <c r="D71" s="269">
        <v>1859</v>
      </c>
      <c r="E71" s="271" t="s">
        <v>6276</v>
      </c>
      <c r="F71" s="271">
        <v>1187</v>
      </c>
      <c r="G71" s="271">
        <f t="shared" ref="G71:G77" si="42">C71*D71*0.99114/(F71*1.0037158)</f>
        <v>33299.467209851166</v>
      </c>
      <c r="H71" s="271">
        <f t="shared" ref="H71:H77" si="43">C71/F71</f>
        <v>18.139848357203032</v>
      </c>
      <c r="I71" s="271">
        <f t="shared" ref="I71:I76" si="44">$R$27/$R$24</f>
        <v>12.642140468227424</v>
      </c>
      <c r="J71" s="97">
        <f t="shared" ref="J71:J77" si="45">I71/H71</f>
        <v>0.69692646924512136</v>
      </c>
      <c r="K71" s="97">
        <f t="shared" ref="K71:K77" si="46">(1/J71-1.0256)*100</f>
        <v>40.927160285812334</v>
      </c>
      <c r="L71" s="93">
        <v>1600000</v>
      </c>
      <c r="M71" s="93">
        <f t="shared" ref="M71:M80" si="47">L71/2</f>
        <v>800000</v>
      </c>
      <c r="N71" s="97" t="s">
        <v>6268</v>
      </c>
      <c r="Q71" s="94"/>
      <c r="R71" s="94"/>
      <c r="S71" s="94"/>
      <c r="T71" s="94"/>
    </row>
    <row r="72" spans="1:20" ht="27.75" customHeight="1">
      <c r="A72" s="269" t="s">
        <v>5723</v>
      </c>
      <c r="B72" s="269" t="s">
        <v>6275</v>
      </c>
      <c r="C72" s="269">
        <v>22420.1</v>
      </c>
      <c r="D72" s="284">
        <v>1000</v>
      </c>
      <c r="E72" s="271" t="s">
        <v>6277</v>
      </c>
      <c r="F72" s="271">
        <v>1161</v>
      </c>
      <c r="G72" s="271">
        <f t="shared" si="42"/>
        <v>19069.072437793271</v>
      </c>
      <c r="H72" s="271">
        <f t="shared" si="43"/>
        <v>19.311024978466836</v>
      </c>
      <c r="I72" s="271">
        <f t="shared" si="44"/>
        <v>12.642140468227424</v>
      </c>
      <c r="J72" s="97">
        <f t="shared" si="45"/>
        <v>0.65465921577566744</v>
      </c>
      <c r="K72" s="97">
        <f t="shared" si="46"/>
        <v>50.191229327026043</v>
      </c>
      <c r="L72" s="93">
        <v>19462210</v>
      </c>
      <c r="M72" s="93">
        <f t="shared" si="47"/>
        <v>9731105</v>
      </c>
      <c r="N72" s="97" t="s">
        <v>6264</v>
      </c>
      <c r="P72" t="s">
        <v>25</v>
      </c>
      <c r="Q72" s="94"/>
      <c r="R72" s="94"/>
      <c r="S72" s="94"/>
      <c r="T72" s="94"/>
    </row>
    <row r="73" spans="1:20">
      <c r="A73" s="269" t="s">
        <v>5724</v>
      </c>
      <c r="B73" s="269" t="s">
        <v>6275</v>
      </c>
      <c r="C73" s="269">
        <v>23233.1</v>
      </c>
      <c r="D73" s="284">
        <v>1000</v>
      </c>
      <c r="E73" s="271" t="s">
        <v>6277</v>
      </c>
      <c r="F73" s="271">
        <v>1152</v>
      </c>
      <c r="G73" s="271">
        <f t="shared" si="42"/>
        <v>19914.936480069027</v>
      </c>
      <c r="H73" s="271">
        <f t="shared" si="43"/>
        <v>20.167621527777776</v>
      </c>
      <c r="I73" s="271">
        <f t="shared" si="44"/>
        <v>12.642140468227424</v>
      </c>
      <c r="J73" s="97">
        <f t="shared" si="45"/>
        <v>0.62685331786967702</v>
      </c>
      <c r="K73" s="97">
        <f t="shared" si="46"/>
        <v>56.966953354644325</v>
      </c>
      <c r="L73" s="93">
        <v>0</v>
      </c>
      <c r="M73" s="93">
        <f t="shared" si="47"/>
        <v>0</v>
      </c>
      <c r="N73" s="97" t="s">
        <v>6264</v>
      </c>
      <c r="Q73" s="94"/>
      <c r="R73" s="94"/>
      <c r="S73" s="94"/>
      <c r="T73" s="94"/>
    </row>
    <row r="74" spans="1:20">
      <c r="A74" s="269" t="s">
        <v>5726</v>
      </c>
      <c r="B74" s="269" t="s">
        <v>6275</v>
      </c>
      <c r="C74" s="269">
        <v>23900</v>
      </c>
      <c r="D74" s="284">
        <v>1000</v>
      </c>
      <c r="E74" s="271" t="s">
        <v>6278</v>
      </c>
      <c r="F74" s="271">
        <v>1153</v>
      </c>
      <c r="G74" s="271">
        <f t="shared" si="42"/>
        <v>20468.821398374203</v>
      </c>
      <c r="H74" s="271">
        <f t="shared" si="43"/>
        <v>20.7285342584562</v>
      </c>
      <c r="I74" s="271">
        <f t="shared" si="44"/>
        <v>12.642140468227424</v>
      </c>
      <c r="J74" s="97">
        <f t="shared" si="45"/>
        <v>0.60989070961783354</v>
      </c>
      <c r="K74" s="97">
        <f t="shared" si="46"/>
        <v>61.40380273223289</v>
      </c>
      <c r="L74" s="93">
        <v>0</v>
      </c>
      <c r="M74" s="93">
        <f t="shared" si="47"/>
        <v>0</v>
      </c>
      <c r="N74" s="97" t="s">
        <v>6264</v>
      </c>
      <c r="P74" t="s">
        <v>6865</v>
      </c>
      <c r="Q74" s="94"/>
      <c r="R74" s="94"/>
      <c r="S74" s="94"/>
      <c r="T74" s="94"/>
    </row>
    <row r="75" spans="1:20" ht="27.75" customHeight="1">
      <c r="A75" s="269" t="s">
        <v>5736</v>
      </c>
      <c r="B75" s="269" t="s">
        <v>6275</v>
      </c>
      <c r="C75" s="269">
        <v>22500</v>
      </c>
      <c r="D75" s="284">
        <v>2000</v>
      </c>
      <c r="E75" s="271" t="s">
        <v>6277</v>
      </c>
      <c r="F75" s="271">
        <v>1093</v>
      </c>
      <c r="G75" s="271">
        <f t="shared" si="42"/>
        <v>40655.246136679802</v>
      </c>
      <c r="H75" s="271">
        <f t="shared" si="43"/>
        <v>20.585544373284538</v>
      </c>
      <c r="I75" s="271">
        <f t="shared" si="44"/>
        <v>12.642140468227424</v>
      </c>
      <c r="J75" s="97">
        <f t="shared" si="45"/>
        <v>0.61412709030100332</v>
      </c>
      <c r="K75" s="97">
        <f t="shared" si="46"/>
        <v>60.272745174922669</v>
      </c>
      <c r="L75" s="93">
        <v>0</v>
      </c>
      <c r="M75" s="93">
        <f t="shared" si="47"/>
        <v>0</v>
      </c>
      <c r="N75" s="97" t="s">
        <v>6264</v>
      </c>
      <c r="P75" t="s">
        <v>25</v>
      </c>
      <c r="Q75" s="94" t="s">
        <v>25</v>
      </c>
      <c r="R75" s="94"/>
      <c r="S75" s="94"/>
      <c r="T75" s="94"/>
    </row>
    <row r="76" spans="1:20">
      <c r="A76" s="269" t="s">
        <v>6251</v>
      </c>
      <c r="B76" s="269" t="s">
        <v>6274</v>
      </c>
      <c r="C76" s="269">
        <v>23706</v>
      </c>
      <c r="D76" s="284">
        <v>1000</v>
      </c>
      <c r="E76" s="271" t="s">
        <v>4216</v>
      </c>
      <c r="F76" s="271">
        <v>1155</v>
      </c>
      <c r="G76" s="271">
        <f t="shared" si="42"/>
        <v>20267.516662882761</v>
      </c>
      <c r="H76" s="271">
        <f t="shared" si="43"/>
        <v>20.524675324675325</v>
      </c>
      <c r="I76" s="271">
        <f t="shared" si="44"/>
        <v>12.642140468227424</v>
      </c>
      <c r="J76" s="97">
        <f t="shared" si="45"/>
        <v>0.61594837765977706</v>
      </c>
      <c r="K76" s="97">
        <f t="shared" si="46"/>
        <v>59.79126777983921</v>
      </c>
      <c r="L76" s="93">
        <v>0</v>
      </c>
      <c r="M76" s="93">
        <f t="shared" si="47"/>
        <v>0</v>
      </c>
      <c r="N76" s="97" t="s">
        <v>6264</v>
      </c>
      <c r="Q76" s="94" t="s">
        <v>25</v>
      </c>
      <c r="R76" s="94"/>
      <c r="S76" s="94"/>
      <c r="T76" s="94"/>
    </row>
    <row r="77" spans="1:20">
      <c r="A77" s="60" t="s">
        <v>6251</v>
      </c>
      <c r="B77" s="60" t="s">
        <v>4354</v>
      </c>
      <c r="C77" s="60">
        <v>16794</v>
      </c>
      <c r="D77" s="60">
        <v>2227</v>
      </c>
      <c r="E77" s="271" t="s">
        <v>4216</v>
      </c>
      <c r="F77" s="271">
        <v>1146.6500000000001</v>
      </c>
      <c r="G77" s="271">
        <f t="shared" si="42"/>
        <v>32208.294857700886</v>
      </c>
      <c r="H77" s="271">
        <f t="shared" si="43"/>
        <v>14.646143112545239</v>
      </c>
      <c r="I77" s="271">
        <f>$R$28/$R$24</f>
        <v>0.18193979933110369</v>
      </c>
      <c r="J77" s="97">
        <f t="shared" si="45"/>
        <v>1.2422369352328811E-2</v>
      </c>
      <c r="K77" s="97">
        <f t="shared" si="46"/>
        <v>7947.4341004614462</v>
      </c>
      <c r="L77" s="93">
        <v>3219484</v>
      </c>
      <c r="M77" s="93">
        <f t="shared" si="47"/>
        <v>1609742</v>
      </c>
      <c r="N77" s="97" t="s">
        <v>6255</v>
      </c>
      <c r="P77" t="s">
        <v>25</v>
      </c>
      <c r="Q77" s="94" t="s">
        <v>25</v>
      </c>
      <c r="R77" s="94" t="s">
        <v>25</v>
      </c>
      <c r="S77" s="94"/>
      <c r="T77" s="94"/>
    </row>
    <row r="78" spans="1:20">
      <c r="A78" s="20" t="s">
        <v>6355</v>
      </c>
      <c r="B78" s="20" t="s">
        <v>6356</v>
      </c>
      <c r="C78" s="20">
        <v>21350</v>
      </c>
      <c r="D78" s="20">
        <v>639</v>
      </c>
      <c r="E78" s="20" t="s">
        <v>4358</v>
      </c>
      <c r="F78" s="20">
        <v>20666.599999999999</v>
      </c>
      <c r="G78" s="20">
        <v>639</v>
      </c>
      <c r="H78" s="20"/>
      <c r="I78" s="20"/>
      <c r="J78" s="20"/>
      <c r="K78" s="20"/>
      <c r="L78" s="312">
        <v>268731</v>
      </c>
      <c r="M78" s="312">
        <f t="shared" si="47"/>
        <v>134365.5</v>
      </c>
      <c r="N78" s="20" t="s">
        <v>6355</v>
      </c>
      <c r="Q78" s="94" t="s">
        <v>25</v>
      </c>
      <c r="R78" s="94" t="s">
        <v>25</v>
      </c>
      <c r="S78" s="94"/>
      <c r="T78" s="94"/>
    </row>
    <row r="79" spans="1:20">
      <c r="A79" s="97" t="s">
        <v>6365</v>
      </c>
      <c r="B79" s="97" t="s">
        <v>6367</v>
      </c>
      <c r="C79" s="97">
        <v>1286.5</v>
      </c>
      <c r="D79" s="97">
        <v>12000</v>
      </c>
      <c r="E79" s="97" t="s">
        <v>4216</v>
      </c>
      <c r="F79" s="97"/>
      <c r="G79" s="97"/>
      <c r="H79" s="97"/>
      <c r="I79" s="97"/>
      <c r="J79" s="97"/>
      <c r="K79" s="97"/>
      <c r="L79" s="312"/>
      <c r="M79" s="312">
        <f t="shared" si="47"/>
        <v>0</v>
      </c>
      <c r="N79" s="97"/>
      <c r="Q79" s="94" t="s">
        <v>25</v>
      </c>
      <c r="R79" s="94" t="s">
        <v>25</v>
      </c>
      <c r="S79" s="94"/>
      <c r="T79" s="94"/>
    </row>
    <row r="80" spans="1:20" ht="30">
      <c r="A80" s="97" t="s">
        <v>6366</v>
      </c>
      <c r="B80" s="97" t="s">
        <v>6367</v>
      </c>
      <c r="C80" s="97">
        <v>1275</v>
      </c>
      <c r="D80" s="97">
        <v>9000</v>
      </c>
      <c r="E80" s="97" t="s">
        <v>4216</v>
      </c>
      <c r="F80" s="97">
        <v>1314</v>
      </c>
      <c r="G80" s="97">
        <v>9000</v>
      </c>
      <c r="H80" s="97"/>
      <c r="I80" s="97"/>
      <c r="J80" s="97"/>
      <c r="K80" s="97"/>
      <c r="L80" s="312">
        <v>191456</v>
      </c>
      <c r="M80" s="312">
        <f t="shared" si="47"/>
        <v>95728</v>
      </c>
      <c r="N80" s="36" t="s">
        <v>6381</v>
      </c>
      <c r="P80" t="s">
        <v>25</v>
      </c>
      <c r="Q80" s="94" t="s">
        <v>25</v>
      </c>
      <c r="R80" s="94" t="s">
        <v>25</v>
      </c>
      <c r="S80" s="94"/>
      <c r="T80" s="94"/>
    </row>
    <row r="81" spans="1:26">
      <c r="A81" s="97" t="s">
        <v>6366</v>
      </c>
      <c r="B81" s="97" t="s">
        <v>6356</v>
      </c>
      <c r="C81" s="97">
        <v>19703</v>
      </c>
      <c r="D81" s="97">
        <v>210</v>
      </c>
      <c r="E81" s="97" t="s">
        <v>4358</v>
      </c>
      <c r="F81" s="97">
        <v>20548.900000000001</v>
      </c>
      <c r="G81" s="97">
        <v>210</v>
      </c>
      <c r="H81" s="97"/>
      <c r="I81" s="97"/>
      <c r="J81" s="97"/>
      <c r="K81" s="97"/>
      <c r="L81" s="312">
        <v>124637</v>
      </c>
      <c r="M81" s="312">
        <f>L81/2</f>
        <v>62318.5</v>
      </c>
      <c r="N81" s="97" t="s">
        <v>6368</v>
      </c>
      <c r="Q81" s="94"/>
      <c r="R81" s="94" t="s">
        <v>25</v>
      </c>
      <c r="S81" s="94"/>
      <c r="T81" s="94"/>
    </row>
    <row r="82" spans="1:26">
      <c r="A82" s="97" t="s">
        <v>6368</v>
      </c>
      <c r="B82" s="97" t="s">
        <v>6367</v>
      </c>
      <c r="C82" s="97">
        <v>1266.5</v>
      </c>
      <c r="D82" s="97">
        <v>8000</v>
      </c>
      <c r="E82" s="97" t="s">
        <v>4216</v>
      </c>
      <c r="F82" s="97">
        <v>1301</v>
      </c>
      <c r="G82" s="97">
        <v>8000</v>
      </c>
      <c r="H82" s="97"/>
      <c r="I82" s="97"/>
      <c r="J82" s="97"/>
      <c r="K82" s="97"/>
      <c r="L82" s="312">
        <v>146805</v>
      </c>
      <c r="M82" s="312">
        <f>L82/2</f>
        <v>73402.5</v>
      </c>
      <c r="N82" s="97" t="s">
        <v>6368</v>
      </c>
      <c r="P82" t="s">
        <v>25</v>
      </c>
      <c r="Q82" s="94"/>
      <c r="R82" s="94" t="s">
        <v>25</v>
      </c>
      <c r="S82" s="94"/>
      <c r="T82" s="94"/>
    </row>
    <row r="83" spans="1:26" ht="30">
      <c r="A83" s="36" t="s">
        <v>6382</v>
      </c>
      <c r="B83" s="97" t="s">
        <v>6367</v>
      </c>
      <c r="C83" s="97" t="s">
        <v>6383</v>
      </c>
      <c r="D83" s="97">
        <v>21000</v>
      </c>
      <c r="E83" s="97" t="s">
        <v>4216</v>
      </c>
      <c r="F83" s="97">
        <v>1312</v>
      </c>
      <c r="G83" s="97">
        <v>21000</v>
      </c>
      <c r="H83" s="97"/>
      <c r="I83" s="97"/>
      <c r="J83" s="97"/>
      <c r="K83" s="97"/>
      <c r="L83" s="312">
        <v>345822</v>
      </c>
      <c r="M83" s="312">
        <f>L83/2</f>
        <v>172911</v>
      </c>
      <c r="N83" s="97" t="s">
        <v>6384</v>
      </c>
      <c r="P83" t="s">
        <v>25</v>
      </c>
      <c r="Q83" s="94"/>
      <c r="R83" s="94" t="s">
        <v>25</v>
      </c>
      <c r="S83" s="94"/>
      <c r="T83" s="94"/>
    </row>
    <row r="84" spans="1:26">
      <c r="A84" s="97"/>
      <c r="B84" s="97"/>
      <c r="C84" s="97"/>
      <c r="D84" s="97"/>
      <c r="E84" s="97"/>
      <c r="F84" s="97"/>
      <c r="G84" s="97"/>
      <c r="H84" s="97"/>
      <c r="I84" s="97"/>
      <c r="J84" s="97"/>
      <c r="K84" s="97" t="s">
        <v>25</v>
      </c>
      <c r="L84" s="312"/>
      <c r="M84" s="312"/>
      <c r="N84" s="97"/>
      <c r="Q84" s="94"/>
      <c r="R84" s="112" t="s">
        <v>25</v>
      </c>
      <c r="S84" s="94"/>
      <c r="T84" s="94"/>
    </row>
    <row r="85" spans="1:26">
      <c r="A85" s="94"/>
      <c r="N85" s="94"/>
      <c r="R85" s="112" t="s">
        <v>25</v>
      </c>
      <c r="S85" s="94" t="s">
        <v>25</v>
      </c>
      <c r="T85" s="94"/>
    </row>
    <row r="86" spans="1:26">
      <c r="A86" s="94"/>
      <c r="P86" s="94"/>
      <c r="R86" s="112"/>
      <c r="S86" s="94" t="s">
        <v>25</v>
      </c>
      <c r="T86" s="94"/>
    </row>
    <row r="87" spans="1:26">
      <c r="A87" s="97" t="s">
        <v>6265</v>
      </c>
      <c r="B87" s="97"/>
      <c r="C87" s="97" t="s">
        <v>920</v>
      </c>
      <c r="D87" s="97" t="s">
        <v>933</v>
      </c>
      <c r="E87" s="97" t="s">
        <v>920</v>
      </c>
      <c r="F87" s="97" t="s">
        <v>933</v>
      </c>
      <c r="G87" s="97" t="s">
        <v>936</v>
      </c>
      <c r="H87" s="97" t="s">
        <v>5</v>
      </c>
      <c r="I87" s="97" t="s">
        <v>6378</v>
      </c>
      <c r="J87" s="97"/>
      <c r="K87" s="97"/>
      <c r="L87" s="97"/>
      <c r="M87" s="97"/>
      <c r="N87" s="97"/>
      <c r="P87" s="94"/>
      <c r="R87" s="94"/>
      <c r="S87" s="120" t="s">
        <v>25</v>
      </c>
      <c r="T87" s="94"/>
    </row>
    <row r="88" spans="1:26">
      <c r="A88" s="97" t="s">
        <v>6264</v>
      </c>
      <c r="B88" s="97" t="s">
        <v>4216</v>
      </c>
      <c r="C88" s="97">
        <v>33874</v>
      </c>
      <c r="D88" s="112">
        <v>1240</v>
      </c>
      <c r="E88" s="97">
        <v>33874</v>
      </c>
      <c r="F88" s="93">
        <v>1278</v>
      </c>
      <c r="G88" s="93">
        <v>750337</v>
      </c>
      <c r="H88" s="93">
        <f>G88/2</f>
        <v>375168.5</v>
      </c>
      <c r="I88" s="97">
        <v>0</v>
      </c>
      <c r="J88" s="97"/>
      <c r="K88" s="97"/>
      <c r="L88" s="97"/>
      <c r="M88" s="97"/>
      <c r="N88" s="97"/>
      <c r="P88" s="94"/>
      <c r="R88" s="94"/>
      <c r="S88" s="94" t="s">
        <v>25</v>
      </c>
      <c r="T88" s="94"/>
    </row>
    <row r="89" spans="1:26">
      <c r="A89" s="97" t="s">
        <v>6268</v>
      </c>
      <c r="B89" s="97" t="s">
        <v>4216</v>
      </c>
      <c r="C89" s="97">
        <v>33274</v>
      </c>
      <c r="D89" s="97">
        <v>1291</v>
      </c>
      <c r="E89" s="97">
        <v>33274</v>
      </c>
      <c r="F89" s="97">
        <v>1314.3</v>
      </c>
      <c r="G89" s="93">
        <v>229922</v>
      </c>
      <c r="H89" s="93">
        <f>G89/2</f>
        <v>114961</v>
      </c>
      <c r="I89" s="97">
        <v>0</v>
      </c>
      <c r="J89" s="97" t="s">
        <v>25</v>
      </c>
      <c r="K89" s="97"/>
      <c r="L89" s="97"/>
      <c r="M89" s="97"/>
      <c r="N89" s="97"/>
      <c r="P89" s="94"/>
      <c r="S89" s="94" t="s">
        <v>25</v>
      </c>
      <c r="T89" s="94"/>
    </row>
    <row r="90" spans="1:26">
      <c r="A90" s="97" t="s">
        <v>6359</v>
      </c>
      <c r="B90" s="97" t="s">
        <v>4216</v>
      </c>
      <c r="C90" s="97">
        <v>2838</v>
      </c>
      <c r="D90" s="97">
        <v>1302</v>
      </c>
      <c r="E90" s="97">
        <v>2838</v>
      </c>
      <c r="F90" s="97">
        <v>1320</v>
      </c>
      <c r="G90" s="93">
        <v>4540</v>
      </c>
      <c r="H90" s="93">
        <f>G90/2</f>
        <v>2270</v>
      </c>
      <c r="I90" s="97">
        <v>0</v>
      </c>
      <c r="J90" s="97"/>
      <c r="K90" s="97"/>
      <c r="L90" s="97"/>
      <c r="M90" s="97"/>
      <c r="N90" s="97"/>
      <c r="P90" s="94"/>
      <c r="S90" s="94"/>
      <c r="T90" s="94"/>
    </row>
    <row r="91" spans="1:26">
      <c r="A91" s="20" t="s">
        <v>6359</v>
      </c>
      <c r="B91" s="20" t="s">
        <v>4216</v>
      </c>
      <c r="C91" s="20">
        <v>28000</v>
      </c>
      <c r="D91" s="20">
        <v>1302</v>
      </c>
      <c r="E91" s="20">
        <v>28000</v>
      </c>
      <c r="F91" s="20">
        <v>1345</v>
      </c>
      <c r="G91" s="93">
        <v>737130</v>
      </c>
      <c r="H91" s="93">
        <f>G91/2</f>
        <v>368565</v>
      </c>
      <c r="I91" s="20" t="s">
        <v>6364</v>
      </c>
      <c r="J91" s="20"/>
      <c r="K91" s="97"/>
      <c r="L91" s="97"/>
      <c r="M91" s="97"/>
      <c r="N91" s="97"/>
      <c r="P91" s="94"/>
      <c r="Q91" t="s">
        <v>25</v>
      </c>
      <c r="S91" s="94"/>
      <c r="T91" s="94"/>
    </row>
    <row r="92" spans="1:26">
      <c r="A92" s="159" t="s">
        <v>6364</v>
      </c>
      <c r="B92" s="159" t="s">
        <v>4216</v>
      </c>
      <c r="C92" s="159">
        <v>28000</v>
      </c>
      <c r="D92" s="159">
        <v>1306.5</v>
      </c>
      <c r="E92" s="159">
        <v>28000</v>
      </c>
      <c r="F92" s="159">
        <v>1358.5</v>
      </c>
      <c r="G92" s="159">
        <v>985488</v>
      </c>
      <c r="H92" s="159">
        <f>G92/2</f>
        <v>492744</v>
      </c>
      <c r="I92" s="97" t="s">
        <v>6377</v>
      </c>
      <c r="J92" s="97"/>
      <c r="K92" s="97"/>
      <c r="L92" s="97"/>
      <c r="M92" s="97"/>
      <c r="N92" s="97"/>
      <c r="P92" s="94"/>
      <c r="S92" s="94"/>
      <c r="T92" s="94"/>
    </row>
    <row r="93" spans="1:26">
      <c r="A93" s="97"/>
      <c r="B93" s="97"/>
      <c r="C93" s="97"/>
      <c r="D93" s="97"/>
      <c r="E93" s="97"/>
      <c r="F93" s="97"/>
      <c r="G93" s="97"/>
      <c r="H93" s="97"/>
      <c r="I93" s="97"/>
      <c r="J93" s="97"/>
      <c r="K93" s="97"/>
      <c r="L93" s="97"/>
      <c r="M93" s="97"/>
      <c r="N93" s="97"/>
      <c r="P93" s="94"/>
      <c r="S93" s="94"/>
      <c r="T93" s="94"/>
    </row>
    <row r="94" spans="1:26">
      <c r="A94" s="97"/>
      <c r="B94" s="97"/>
      <c r="C94" s="97"/>
      <c r="D94" s="97"/>
      <c r="E94" s="97"/>
      <c r="F94" s="97"/>
      <c r="G94" s="97"/>
      <c r="H94" s="97"/>
      <c r="I94" s="97"/>
      <c r="J94" s="97"/>
      <c r="K94" s="97"/>
      <c r="L94" s="97"/>
      <c r="M94" s="97"/>
      <c r="N94" s="97"/>
      <c r="O94" s="94"/>
      <c r="P94" s="94"/>
      <c r="R94" t="s">
        <v>25</v>
      </c>
    </row>
    <row r="95" spans="1:26">
      <c r="O95" s="94"/>
      <c r="P95" s="94"/>
    </row>
    <row r="96" spans="1:26">
      <c r="O96" s="94"/>
      <c r="P96" s="94"/>
      <c r="Q96" t="s">
        <v>25</v>
      </c>
      <c r="Z96" t="s">
        <v>25</v>
      </c>
    </row>
    <row r="97" spans="1:27">
      <c r="O97" s="94"/>
      <c r="P97" s="94"/>
    </row>
    <row r="98" spans="1:27">
      <c r="A98" s="94"/>
      <c r="B98" s="94"/>
      <c r="C98" s="94"/>
      <c r="D98" s="94"/>
      <c r="E98" s="94"/>
      <c r="O98" s="94"/>
      <c r="P98" s="94"/>
    </row>
    <row r="99" spans="1:27">
      <c r="A99" s="94"/>
      <c r="B99" s="94"/>
      <c r="C99" s="94"/>
      <c r="D99" s="94"/>
      <c r="E99" s="94"/>
      <c r="O99" s="94"/>
      <c r="P99" s="94"/>
      <c r="AA99" t="s">
        <v>25</v>
      </c>
    </row>
    <row r="100" spans="1:27">
      <c r="A100" s="94"/>
      <c r="B100" s="94"/>
      <c r="C100" s="94"/>
      <c r="D100" s="94"/>
      <c r="E100" s="94"/>
      <c r="O100" s="94"/>
      <c r="P100" s="94"/>
    </row>
    <row r="101" spans="1:27">
      <c r="A101" s="94"/>
      <c r="B101" s="94"/>
      <c r="C101" s="94"/>
      <c r="D101" s="94"/>
      <c r="E101" s="94"/>
      <c r="O101" s="94"/>
      <c r="P101" s="94"/>
    </row>
    <row r="102" spans="1:27">
      <c r="A102" s="94"/>
      <c r="B102" s="94"/>
      <c r="C102" s="400"/>
      <c r="D102" s="400"/>
      <c r="E102" s="94"/>
      <c r="O102" s="94"/>
      <c r="P102" s="94"/>
    </row>
    <row r="103" spans="1:27">
      <c r="A103" s="94"/>
      <c r="B103" s="94"/>
      <c r="C103" s="400"/>
      <c r="D103" s="400"/>
      <c r="E103" s="94"/>
      <c r="K103" t="s">
        <v>25</v>
      </c>
      <c r="P103" s="94"/>
    </row>
    <row r="104" spans="1:27">
      <c r="A104" s="94"/>
      <c r="C104" s="400"/>
      <c r="D104" s="400"/>
      <c r="J104" t="s">
        <v>25</v>
      </c>
      <c r="O104" s="94"/>
      <c r="P104" s="94"/>
      <c r="R104" t="s">
        <v>25</v>
      </c>
    </row>
    <row r="105" spans="1:27">
      <c r="A105" s="94"/>
      <c r="O105" s="94"/>
      <c r="P105" s="94"/>
    </row>
    <row r="106" spans="1:27">
      <c r="A106" s="94"/>
      <c r="O106" s="94"/>
      <c r="P106" s="94"/>
    </row>
    <row r="107" spans="1:27">
      <c r="A107" s="94"/>
      <c r="O107" s="94"/>
      <c r="P107" s="94"/>
      <c r="Q107" t="s">
        <v>25</v>
      </c>
      <c r="Z107" t="s">
        <v>25</v>
      </c>
    </row>
    <row r="108" spans="1:27">
      <c r="A108" s="94"/>
      <c r="O108" s="94"/>
      <c r="P108" s="94"/>
    </row>
    <row r="109" spans="1:27">
      <c r="A109" s="94"/>
      <c r="O109" s="94"/>
      <c r="P109" s="94" t="s">
        <v>25</v>
      </c>
      <c r="Q109" t="s">
        <v>25</v>
      </c>
    </row>
    <row r="110" spans="1:27">
      <c r="A110" s="94"/>
      <c r="O110" s="94"/>
      <c r="P110" s="94" t="s">
        <v>25</v>
      </c>
    </row>
    <row r="111" spans="1:27">
      <c r="A111" s="94"/>
      <c r="O111" s="94"/>
      <c r="P111" s="94"/>
      <c r="Q111" t="s">
        <v>25</v>
      </c>
    </row>
    <row r="112" spans="1:27">
      <c r="A112" s="94"/>
      <c r="O112" s="94"/>
      <c r="P112" s="94" t="s">
        <v>25</v>
      </c>
    </row>
    <row r="113" spans="1:19">
      <c r="A113" s="94"/>
      <c r="O113" s="94"/>
      <c r="P113" s="94" t="s">
        <v>25</v>
      </c>
    </row>
    <row r="114" spans="1:19">
      <c r="A114" s="94"/>
      <c r="D114">
        <v>28000</v>
      </c>
      <c r="O114" s="94" t="s">
        <v>25</v>
      </c>
      <c r="P114" s="94" t="s">
        <v>25</v>
      </c>
      <c r="R114" t="s">
        <v>25</v>
      </c>
    </row>
    <row r="115" spans="1:19" ht="27" customHeight="1">
      <c r="A115" s="94"/>
      <c r="O115" s="94"/>
      <c r="P115" s="94" t="s">
        <v>25</v>
      </c>
      <c r="R115" t="s">
        <v>25</v>
      </c>
    </row>
    <row r="116" spans="1:19">
      <c r="A116" s="94" t="s">
        <v>6807</v>
      </c>
      <c r="B116">
        <v>10330</v>
      </c>
      <c r="C116">
        <v>11900</v>
      </c>
      <c r="D116" s="112">
        <f t="shared" ref="D116:D138" si="48">B116*$D$114</f>
        <v>289240000</v>
      </c>
      <c r="E116" s="112">
        <f t="shared" ref="E116:E138" si="49">C116*$D$114</f>
        <v>333200000</v>
      </c>
      <c r="F116" s="112">
        <v>440000000</v>
      </c>
      <c r="G116">
        <f>(F116-E116)*100/E116</f>
        <v>32.052821128451377</v>
      </c>
      <c r="O116" s="94"/>
      <c r="P116" s="94" t="s">
        <v>25</v>
      </c>
      <c r="R116" s="281" t="s">
        <v>5647</v>
      </c>
    </row>
    <row r="117" spans="1:19">
      <c r="A117" s="94" t="s">
        <v>6808</v>
      </c>
      <c r="C117">
        <v>18000</v>
      </c>
      <c r="D117" s="112">
        <f t="shared" si="48"/>
        <v>0</v>
      </c>
      <c r="E117" s="112">
        <f t="shared" si="49"/>
        <v>504000000</v>
      </c>
      <c r="F117" s="112">
        <v>700000000</v>
      </c>
      <c r="G117" s="399">
        <f t="shared" ref="G117:G134" si="50">(F117-E117)*100/E117</f>
        <v>38.888888888888886</v>
      </c>
      <c r="O117" s="94" t="s">
        <v>25</v>
      </c>
      <c r="P117" s="94" t="s">
        <v>25</v>
      </c>
      <c r="R117" t="s">
        <v>25</v>
      </c>
    </row>
    <row r="118" spans="1:19">
      <c r="A118" s="94" t="s">
        <v>6809</v>
      </c>
      <c r="C118">
        <v>19000</v>
      </c>
      <c r="D118" s="112">
        <f t="shared" si="48"/>
        <v>0</v>
      </c>
      <c r="E118" s="112">
        <f t="shared" si="49"/>
        <v>532000000</v>
      </c>
      <c r="F118" s="112">
        <v>650000000</v>
      </c>
      <c r="G118" s="399">
        <f t="shared" si="50"/>
        <v>22.180451127819548</v>
      </c>
      <c r="O118" s="94" t="s">
        <v>25</v>
      </c>
      <c r="P118" s="94" t="s">
        <v>25</v>
      </c>
      <c r="R118" t="s">
        <v>25</v>
      </c>
    </row>
    <row r="119" spans="1:19">
      <c r="A119" s="94" t="s">
        <v>6810</v>
      </c>
      <c r="C119">
        <v>23000</v>
      </c>
      <c r="D119" s="112">
        <f t="shared" si="48"/>
        <v>0</v>
      </c>
      <c r="E119" s="112">
        <f t="shared" si="49"/>
        <v>644000000</v>
      </c>
      <c r="F119" s="112">
        <v>930000000</v>
      </c>
      <c r="G119" s="399">
        <f t="shared" si="50"/>
        <v>44.409937888198755</v>
      </c>
      <c r="O119" s="94"/>
      <c r="R119" t="s">
        <v>25</v>
      </c>
    </row>
    <row r="120" spans="1:19">
      <c r="A120" s="94" t="s">
        <v>6811</v>
      </c>
      <c r="C120">
        <v>13000</v>
      </c>
      <c r="D120" s="112">
        <f t="shared" si="48"/>
        <v>0</v>
      </c>
      <c r="E120" s="112">
        <f t="shared" si="49"/>
        <v>364000000</v>
      </c>
      <c r="F120" s="112">
        <v>600000000</v>
      </c>
      <c r="G120" s="399">
        <f t="shared" si="50"/>
        <v>64.835164835164832</v>
      </c>
      <c r="O120" s="94"/>
      <c r="P120" t="s">
        <v>25</v>
      </c>
      <c r="Q120" t="s">
        <v>25</v>
      </c>
    </row>
    <row r="121" spans="1:19">
      <c r="A121" s="94" t="s">
        <v>6812</v>
      </c>
      <c r="C121">
        <v>13000</v>
      </c>
      <c r="D121" s="112">
        <f t="shared" si="48"/>
        <v>0</v>
      </c>
      <c r="E121" s="112">
        <f t="shared" si="49"/>
        <v>364000000</v>
      </c>
      <c r="F121" s="112">
        <v>400000000</v>
      </c>
      <c r="G121" s="399">
        <f t="shared" si="50"/>
        <v>9.8901098901098905</v>
      </c>
      <c r="O121" s="94"/>
      <c r="Q121" t="s">
        <v>25</v>
      </c>
    </row>
    <row r="122" spans="1:19">
      <c r="A122" s="94" t="s">
        <v>6813</v>
      </c>
      <c r="C122">
        <v>13600</v>
      </c>
      <c r="D122" s="112">
        <f t="shared" si="48"/>
        <v>0</v>
      </c>
      <c r="E122" s="112">
        <f t="shared" si="49"/>
        <v>380800000</v>
      </c>
      <c r="F122" s="112">
        <v>520000000</v>
      </c>
      <c r="G122" s="399">
        <f t="shared" si="50"/>
        <v>36.554621848739494</v>
      </c>
      <c r="O122" s="94"/>
      <c r="R122" t="s">
        <v>25</v>
      </c>
    </row>
    <row r="123" spans="1:19">
      <c r="A123" s="94" t="s">
        <v>6814</v>
      </c>
      <c r="C123">
        <v>28000</v>
      </c>
      <c r="D123" s="112">
        <f t="shared" si="48"/>
        <v>0</v>
      </c>
      <c r="E123" s="112">
        <f t="shared" si="49"/>
        <v>784000000</v>
      </c>
      <c r="F123" s="112">
        <v>900000000</v>
      </c>
      <c r="G123" s="399">
        <f t="shared" si="50"/>
        <v>14.795918367346939</v>
      </c>
      <c r="O123" s="94"/>
      <c r="R123" t="s">
        <v>25</v>
      </c>
      <c r="S123" t="s">
        <v>25</v>
      </c>
    </row>
    <row r="124" spans="1:19">
      <c r="A124" s="94" t="s">
        <v>6815</v>
      </c>
      <c r="C124">
        <v>19000</v>
      </c>
      <c r="D124" s="112">
        <f t="shared" si="48"/>
        <v>0</v>
      </c>
      <c r="E124" s="112">
        <f t="shared" si="49"/>
        <v>532000000</v>
      </c>
      <c r="F124" s="112">
        <v>700000000</v>
      </c>
      <c r="G124" s="399">
        <f t="shared" si="50"/>
        <v>31.578947368421051</v>
      </c>
      <c r="P124" t="s">
        <v>25</v>
      </c>
      <c r="Q124" t="s">
        <v>25</v>
      </c>
      <c r="S124" t="s">
        <v>25</v>
      </c>
    </row>
    <row r="125" spans="1:19">
      <c r="A125" s="94" t="s">
        <v>6816</v>
      </c>
      <c r="C125">
        <v>15000</v>
      </c>
      <c r="D125" s="112">
        <f t="shared" si="48"/>
        <v>0</v>
      </c>
      <c r="E125" s="112">
        <f t="shared" si="49"/>
        <v>420000000</v>
      </c>
      <c r="F125" s="112">
        <v>700000000</v>
      </c>
      <c r="G125" s="399">
        <f t="shared" si="50"/>
        <v>66.666666666666671</v>
      </c>
      <c r="P125" t="s">
        <v>25</v>
      </c>
      <c r="Q125" t="s">
        <v>25</v>
      </c>
      <c r="S125" t="s">
        <v>25</v>
      </c>
    </row>
    <row r="126" spans="1:19">
      <c r="A126" s="94" t="s">
        <v>6817</v>
      </c>
      <c r="C126">
        <v>21000</v>
      </c>
      <c r="D126" s="112">
        <f t="shared" si="48"/>
        <v>0</v>
      </c>
      <c r="E126" s="112">
        <f t="shared" si="49"/>
        <v>588000000</v>
      </c>
      <c r="F126" s="112">
        <v>700000000</v>
      </c>
      <c r="G126" s="399">
        <f t="shared" si="50"/>
        <v>19.047619047619047</v>
      </c>
      <c r="O126" t="s">
        <v>25</v>
      </c>
      <c r="P126" t="s">
        <v>25</v>
      </c>
      <c r="R126" t="s">
        <v>25</v>
      </c>
      <c r="S126" t="s">
        <v>25</v>
      </c>
    </row>
    <row r="127" spans="1:19">
      <c r="A127" s="94" t="s">
        <v>6818</v>
      </c>
      <c r="C127">
        <v>17000</v>
      </c>
      <c r="D127" s="112">
        <f t="shared" si="48"/>
        <v>0</v>
      </c>
      <c r="E127" s="112">
        <f t="shared" si="49"/>
        <v>476000000</v>
      </c>
      <c r="F127" s="112">
        <v>700000000</v>
      </c>
      <c r="G127" s="399">
        <f t="shared" si="50"/>
        <v>47.058823529411768</v>
      </c>
      <c r="P127" t="s">
        <v>25</v>
      </c>
      <c r="Q127" t="s">
        <v>25</v>
      </c>
      <c r="S127" t="s">
        <v>25</v>
      </c>
    </row>
    <row r="128" spans="1:19">
      <c r="A128" t="s">
        <v>6819</v>
      </c>
      <c r="C128">
        <v>11000</v>
      </c>
      <c r="D128" s="112">
        <f t="shared" si="48"/>
        <v>0</v>
      </c>
      <c r="E128" s="112">
        <f t="shared" si="49"/>
        <v>308000000</v>
      </c>
      <c r="F128" s="112">
        <v>370000000</v>
      </c>
      <c r="G128" s="399">
        <f t="shared" si="50"/>
        <v>20.129870129870131</v>
      </c>
      <c r="R128" t="s">
        <v>25</v>
      </c>
    </row>
    <row r="129" spans="4:21">
      <c r="D129" s="112">
        <f t="shared" si="48"/>
        <v>0</v>
      </c>
      <c r="E129" s="112">
        <f t="shared" si="49"/>
        <v>0</v>
      </c>
      <c r="F129" s="112"/>
      <c r="G129" s="399" t="e">
        <f t="shared" si="50"/>
        <v>#DIV/0!</v>
      </c>
      <c r="O129" t="s">
        <v>25</v>
      </c>
      <c r="P129" t="s">
        <v>25</v>
      </c>
    </row>
    <row r="130" spans="4:21">
      <c r="D130" s="112">
        <f t="shared" si="48"/>
        <v>0</v>
      </c>
      <c r="E130" s="112">
        <f t="shared" si="49"/>
        <v>0</v>
      </c>
      <c r="F130" s="112"/>
      <c r="G130" s="399" t="e">
        <f t="shared" si="50"/>
        <v>#DIV/0!</v>
      </c>
      <c r="P130" t="s">
        <v>25</v>
      </c>
      <c r="R130" t="s">
        <v>25</v>
      </c>
      <c r="S130" t="s">
        <v>25</v>
      </c>
      <c r="T130" t="s">
        <v>25</v>
      </c>
    </row>
    <row r="131" spans="4:21">
      <c r="D131" s="112">
        <f t="shared" si="48"/>
        <v>0</v>
      </c>
      <c r="E131" s="112">
        <f t="shared" si="49"/>
        <v>0</v>
      </c>
      <c r="F131" s="112"/>
      <c r="G131" s="399" t="e">
        <f t="shared" si="50"/>
        <v>#DIV/0!</v>
      </c>
      <c r="O131" t="s">
        <v>25</v>
      </c>
      <c r="P131" t="s">
        <v>25</v>
      </c>
      <c r="R131" t="s">
        <v>25</v>
      </c>
      <c r="S131" t="s">
        <v>25</v>
      </c>
    </row>
    <row r="132" spans="4:21">
      <c r="D132" s="112">
        <f t="shared" si="48"/>
        <v>0</v>
      </c>
      <c r="E132" s="112">
        <f t="shared" si="49"/>
        <v>0</v>
      </c>
      <c r="F132" s="112"/>
      <c r="G132" s="399" t="e">
        <f t="shared" si="50"/>
        <v>#DIV/0!</v>
      </c>
      <c r="P132" t="s">
        <v>25</v>
      </c>
      <c r="R132" t="s">
        <v>25</v>
      </c>
    </row>
    <row r="133" spans="4:21">
      <c r="D133" s="112">
        <f t="shared" si="48"/>
        <v>0</v>
      </c>
      <c r="E133" s="112">
        <f t="shared" si="49"/>
        <v>0</v>
      </c>
      <c r="F133" s="112"/>
      <c r="G133" s="399" t="e">
        <f t="shared" si="50"/>
        <v>#DIV/0!</v>
      </c>
      <c r="P133" t="s">
        <v>25</v>
      </c>
      <c r="S133" t="s">
        <v>25</v>
      </c>
    </row>
    <row r="134" spans="4:21">
      <c r="D134" s="112">
        <f t="shared" si="48"/>
        <v>0</v>
      </c>
      <c r="E134" s="112">
        <f t="shared" si="49"/>
        <v>0</v>
      </c>
      <c r="F134" s="112"/>
      <c r="G134" s="399" t="e">
        <f t="shared" si="50"/>
        <v>#DIV/0!</v>
      </c>
    </row>
    <row r="135" spans="4:21">
      <c r="D135" s="112">
        <f t="shared" si="48"/>
        <v>0</v>
      </c>
      <c r="E135" s="112">
        <f t="shared" si="49"/>
        <v>0</v>
      </c>
      <c r="Q135" t="s">
        <v>25</v>
      </c>
      <c r="R135" t="s">
        <v>25</v>
      </c>
    </row>
    <row r="136" spans="4:21">
      <c r="D136" s="112">
        <f t="shared" si="48"/>
        <v>0</v>
      </c>
      <c r="E136" s="112">
        <f t="shared" si="49"/>
        <v>0</v>
      </c>
      <c r="O136" t="s">
        <v>25</v>
      </c>
    </row>
    <row r="137" spans="4:21">
      <c r="D137" s="112">
        <f t="shared" si="48"/>
        <v>0</v>
      </c>
      <c r="E137" s="112">
        <f t="shared" si="49"/>
        <v>0</v>
      </c>
      <c r="P137" t="s">
        <v>25</v>
      </c>
      <c r="R137" t="s">
        <v>25</v>
      </c>
      <c r="S137" t="s">
        <v>25</v>
      </c>
    </row>
    <row r="138" spans="4:21">
      <c r="D138" s="112">
        <f t="shared" si="48"/>
        <v>0</v>
      </c>
      <c r="E138" s="112">
        <f t="shared" si="49"/>
        <v>0</v>
      </c>
      <c r="P138" t="s">
        <v>25</v>
      </c>
    </row>
    <row r="139" spans="4:21">
      <c r="R139" t="s">
        <v>25</v>
      </c>
    </row>
    <row r="140" spans="4:21">
      <c r="R140" t="s">
        <v>25</v>
      </c>
      <c r="U140" t="s">
        <v>25</v>
      </c>
    </row>
    <row r="141" spans="4:21">
      <c r="P141" t="s">
        <v>25</v>
      </c>
      <c r="R141" t="s">
        <v>25</v>
      </c>
      <c r="S141" t="s">
        <v>25</v>
      </c>
    </row>
    <row r="142" spans="4:21">
      <c r="R142" t="s">
        <v>25</v>
      </c>
    </row>
    <row r="143" spans="4:21">
      <c r="P143" t="s">
        <v>25</v>
      </c>
    </row>
    <row r="144" spans="4:21">
      <c r="P144" t="s">
        <v>25</v>
      </c>
      <c r="Q144" t="s">
        <v>25</v>
      </c>
    </row>
    <row r="145" spans="15:18">
      <c r="P145" s="94" t="s">
        <v>25</v>
      </c>
      <c r="Q145" t="s">
        <v>25</v>
      </c>
    </row>
    <row r="147" spans="15:18">
      <c r="P147" t="s">
        <v>25</v>
      </c>
    </row>
    <row r="148" spans="15:18">
      <c r="P148" t="s">
        <v>25</v>
      </c>
    </row>
    <row r="149" spans="15:18">
      <c r="O149" t="s">
        <v>25</v>
      </c>
    </row>
    <row r="151" spans="15:18">
      <c r="O151" s="94"/>
    </row>
    <row r="152" spans="15:18">
      <c r="O152" s="94"/>
    </row>
    <row r="153" spans="15:18">
      <c r="O153" s="94" t="s">
        <v>25</v>
      </c>
      <c r="P153" s="94" t="s">
        <v>5497</v>
      </c>
    </row>
    <row r="154" spans="15:18">
      <c r="O154" t="s">
        <v>25</v>
      </c>
      <c r="P154" s="94" t="s">
        <v>5498</v>
      </c>
    </row>
    <row r="155" spans="15:18">
      <c r="P155" s="94" t="s">
        <v>5499</v>
      </c>
      <c r="R155" t="s">
        <v>25</v>
      </c>
    </row>
    <row r="156" spans="15:18">
      <c r="P156" s="94" t="s">
        <v>5500</v>
      </c>
    </row>
    <row r="157" spans="15:18">
      <c r="P157" s="94" t="s">
        <v>5501</v>
      </c>
    </row>
    <row r="158" spans="15:18">
      <c r="P158" s="94" t="s">
        <v>5502</v>
      </c>
    </row>
    <row r="160" spans="15:18">
      <c r="O160" t="s">
        <v>25</v>
      </c>
      <c r="P160" t="s">
        <v>25</v>
      </c>
    </row>
    <row r="162" spans="15:16">
      <c r="P162" t="s">
        <v>25</v>
      </c>
    </row>
    <row r="163" spans="15:16">
      <c r="O163" s="94"/>
    </row>
    <row r="164" spans="15:16">
      <c r="O164" s="94"/>
      <c r="P164" t="s">
        <v>25</v>
      </c>
    </row>
    <row r="165" spans="15:16">
      <c r="O165" s="94"/>
      <c r="P165" t="s">
        <v>25</v>
      </c>
    </row>
    <row r="166" spans="15:16">
      <c r="O166" s="94"/>
    </row>
    <row r="167" spans="15:16">
      <c r="O167" t="s">
        <v>25</v>
      </c>
    </row>
    <row r="170" spans="15:16">
      <c r="O170" t="s">
        <v>25</v>
      </c>
      <c r="P170" t="s">
        <v>25</v>
      </c>
    </row>
    <row r="171" spans="15:16">
      <c r="O171" s="94"/>
    </row>
    <row r="172" spans="15:16">
      <c r="O172" s="94" t="s">
        <v>25</v>
      </c>
    </row>
    <row r="174" spans="15:16">
      <c r="O174" t="s">
        <v>25</v>
      </c>
    </row>
    <row r="175" spans="15:16">
      <c r="O175" t="s">
        <v>25</v>
      </c>
    </row>
    <row r="176" spans="15:16">
      <c r="O176" t="s">
        <v>25</v>
      </c>
      <c r="P176" t="s">
        <v>25</v>
      </c>
    </row>
    <row r="179" spans="15:19">
      <c r="S179" t="s">
        <v>25</v>
      </c>
    </row>
    <row r="184" spans="15:19">
      <c r="P184" t="s">
        <v>25</v>
      </c>
    </row>
    <row r="185" spans="15:19">
      <c r="P185" t="s">
        <v>25</v>
      </c>
    </row>
    <row r="187" spans="15:19">
      <c r="P187" t="s">
        <v>25</v>
      </c>
    </row>
    <row r="188" spans="15:19">
      <c r="Q188" t="s">
        <v>25</v>
      </c>
    </row>
    <row r="192" spans="15:19">
      <c r="O192" t="s">
        <v>25</v>
      </c>
    </row>
    <row r="193" spans="16:21">
      <c r="U193" t="s">
        <v>25</v>
      </c>
    </row>
    <row r="203" spans="16:21">
      <c r="P203" t="s">
        <v>25</v>
      </c>
    </row>
    <row r="214" spans="16:16">
      <c r="P214" t="s">
        <v>25</v>
      </c>
    </row>
    <row r="223" spans="16:16">
      <c r="P223" t="s">
        <v>25</v>
      </c>
    </row>
    <row r="230" spans="15:16">
      <c r="P230" t="s">
        <v>25</v>
      </c>
    </row>
    <row r="232" spans="15:16">
      <c r="O232" s="94"/>
    </row>
    <row r="233" spans="15:16">
      <c r="O233" s="94" t="s">
        <v>25</v>
      </c>
    </row>
    <row r="234" spans="15:16">
      <c r="O234" s="94"/>
    </row>
    <row r="235" spans="15:16">
      <c r="O235" s="94" t="s">
        <v>25</v>
      </c>
    </row>
    <row r="236" spans="15:16">
      <c r="O236" s="94"/>
    </row>
    <row r="237" spans="15:16">
      <c r="O237" s="94"/>
    </row>
  </sheetData>
  <phoneticPr fontId="28" type="noConversion"/>
  <conditionalFormatting sqref="K78 K55:K66 K1:K51">
    <cfRule type="cellIs" dxfId="12" priority="10" operator="lessThan">
      <formula>0</formula>
    </cfRule>
    <cfRule type="cellIs" dxfId="11" priority="11" operator="greaterThan">
      <formula>0</formula>
    </cfRule>
    <cfRule type="cellIs" dxfId="10" priority="12" operator="greaterThan">
      <formula>0</formula>
    </cfRule>
  </conditionalFormatting>
  <conditionalFormatting sqref="K71:K77">
    <cfRule type="cellIs" dxfId="9" priority="7" operator="lessThan">
      <formula>0</formula>
    </cfRule>
    <cfRule type="cellIs" dxfId="8" priority="8" operator="greaterThan">
      <formula>0</formula>
    </cfRule>
    <cfRule type="cellIs" dxfId="7" priority="9" operator="greaterThan">
      <formula>0</formula>
    </cfRule>
  </conditionalFormatting>
  <conditionalFormatting sqref="K52:K54">
    <cfRule type="cellIs" dxfId="6" priority="4" operator="lessThan">
      <formula>0</formula>
    </cfRule>
    <cfRule type="cellIs" dxfId="5" priority="5" operator="greaterThan">
      <formula>0</formula>
    </cfRule>
    <cfRule type="cellIs" dxfId="4" priority="6" operator="greaterThan">
      <formula>0</formula>
    </cfRule>
  </conditionalFormatting>
  <pageMargins left="0.7" right="0.7" top="0.75" bottom="0.75" header="0.3" footer="0.3"/>
  <pageSetup orientation="portrait" horizontalDpi="1200" verticalDpi="1200" r:id="rId1"/>
  <ignoredErrors>
    <ignoredError sqref="N26 G10"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12" sqref="B12"/>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2" t="s">
        <v>6189</v>
      </c>
      <c r="B1" s="293" t="s">
        <v>6187</v>
      </c>
      <c r="C1" s="32" t="s">
        <v>6200</v>
      </c>
      <c r="D1" s="236" t="s">
        <v>1098</v>
      </c>
      <c r="E1" s="32" t="s">
        <v>6188</v>
      </c>
      <c r="F1" s="205" t="s">
        <v>5833</v>
      </c>
      <c r="G1" s="205" t="s">
        <v>6199</v>
      </c>
    </row>
    <row r="2" spans="1:7">
      <c r="A2" s="292">
        <v>1390</v>
      </c>
      <c r="B2" s="293">
        <v>354</v>
      </c>
      <c r="C2" s="32"/>
      <c r="D2" s="236">
        <v>1900</v>
      </c>
      <c r="E2" s="32">
        <f t="shared" ref="E2:E12" si="0">B2*1000/D2</f>
        <v>186.31578947368422</v>
      </c>
      <c r="F2" s="18">
        <v>700000</v>
      </c>
      <c r="G2" s="205">
        <f t="shared" ref="G2:G12" si="1">B2*1000*1000/F2</f>
        <v>505.71428571428572</v>
      </c>
    </row>
    <row r="3" spans="1:7">
      <c r="A3" s="292">
        <v>1391</v>
      </c>
      <c r="B3" s="293">
        <v>460</v>
      </c>
      <c r="C3" s="32">
        <f t="shared" ref="C3:C12" si="2">(B3-B2)*100/B2</f>
        <v>29.943502824858758</v>
      </c>
      <c r="D3" s="236">
        <v>3200</v>
      </c>
      <c r="E3" s="32">
        <f t="shared" si="0"/>
        <v>143.75</v>
      </c>
      <c r="F3" s="18">
        <v>1200000</v>
      </c>
      <c r="G3" s="205">
        <f t="shared" si="1"/>
        <v>383.33333333333331</v>
      </c>
    </row>
    <row r="4" spans="1:7">
      <c r="A4" s="292">
        <v>1392</v>
      </c>
      <c r="B4" s="293">
        <v>640</v>
      </c>
      <c r="C4" s="32">
        <f t="shared" si="2"/>
        <v>39.130434782608695</v>
      </c>
      <c r="D4" s="236">
        <v>3100</v>
      </c>
      <c r="E4" s="32">
        <f t="shared" si="0"/>
        <v>206.45161290322579</v>
      </c>
      <c r="F4" s="18">
        <v>970000</v>
      </c>
      <c r="G4" s="205">
        <f t="shared" si="1"/>
        <v>659.79381443298973</v>
      </c>
    </row>
    <row r="5" spans="1:7">
      <c r="A5" s="292">
        <v>1393</v>
      </c>
      <c r="B5" s="293">
        <v>782</v>
      </c>
      <c r="C5" s="32">
        <f t="shared" si="2"/>
        <v>22.1875</v>
      </c>
      <c r="D5" s="236">
        <v>3300</v>
      </c>
      <c r="E5" s="32">
        <f t="shared" si="0"/>
        <v>236.96969696969697</v>
      </c>
      <c r="F5" s="18">
        <v>1000000</v>
      </c>
      <c r="G5" s="205">
        <f t="shared" si="1"/>
        <v>782</v>
      </c>
    </row>
    <row r="6" spans="1:7">
      <c r="A6" s="292">
        <v>1394</v>
      </c>
      <c r="B6" s="293">
        <v>1017</v>
      </c>
      <c r="C6" s="32">
        <f t="shared" si="2"/>
        <v>30.051150895140665</v>
      </c>
      <c r="D6" s="236">
        <v>3500</v>
      </c>
      <c r="E6" s="32">
        <f t="shared" si="0"/>
        <v>290.57142857142856</v>
      </c>
      <c r="F6" s="18">
        <v>1000000</v>
      </c>
      <c r="G6" s="205">
        <f t="shared" si="1"/>
        <v>1017</v>
      </c>
    </row>
    <row r="7" spans="1:7">
      <c r="A7" s="292">
        <v>1395</v>
      </c>
      <c r="B7" s="293">
        <v>1253</v>
      </c>
      <c r="C7" s="32">
        <f t="shared" si="2"/>
        <v>23.2055063913471</v>
      </c>
      <c r="D7" s="236">
        <v>3800</v>
      </c>
      <c r="E7" s="32">
        <f t="shared" si="0"/>
        <v>329.73684210526318</v>
      </c>
      <c r="F7" s="18">
        <v>1100000</v>
      </c>
      <c r="G7" s="205">
        <f t="shared" si="1"/>
        <v>1139.090909090909</v>
      </c>
    </row>
    <row r="8" spans="1:7">
      <c r="A8" s="292">
        <v>1396</v>
      </c>
      <c r="B8" s="293">
        <v>1530</v>
      </c>
      <c r="C8" s="32">
        <f t="shared" si="2"/>
        <v>22.106943335993616</v>
      </c>
      <c r="D8" s="236">
        <v>4500</v>
      </c>
      <c r="E8" s="32">
        <f t="shared" si="0"/>
        <v>340</v>
      </c>
      <c r="F8" s="18">
        <v>1400000</v>
      </c>
      <c r="G8" s="205">
        <f t="shared" si="1"/>
        <v>1092.8571428571429</v>
      </c>
    </row>
    <row r="9" spans="1:7">
      <c r="A9" s="292">
        <v>1397</v>
      </c>
      <c r="B9" s="293">
        <v>1882</v>
      </c>
      <c r="C9" s="32">
        <f t="shared" si="2"/>
        <v>23.006535947712418</v>
      </c>
      <c r="D9" s="236">
        <v>12000</v>
      </c>
      <c r="E9" s="32">
        <f t="shared" si="0"/>
        <v>156.83333333333334</v>
      </c>
      <c r="F9" s="18">
        <v>4750000</v>
      </c>
      <c r="G9" s="205">
        <f t="shared" si="1"/>
        <v>396.21052631578948</v>
      </c>
    </row>
    <row r="10" spans="1:7">
      <c r="A10" s="292">
        <v>1398</v>
      </c>
      <c r="B10" s="293">
        <v>2472</v>
      </c>
      <c r="C10" s="32">
        <f t="shared" si="2"/>
        <v>31.349628055260361</v>
      </c>
      <c r="D10" s="236">
        <v>15000</v>
      </c>
      <c r="E10" s="32">
        <f t="shared" si="0"/>
        <v>164.8</v>
      </c>
      <c r="F10" s="18">
        <v>6600000</v>
      </c>
      <c r="G10" s="205">
        <f t="shared" si="1"/>
        <v>374.54545454545456</v>
      </c>
    </row>
    <row r="11" spans="1:7">
      <c r="A11" s="292">
        <v>1399</v>
      </c>
      <c r="B11" s="293">
        <v>3476</v>
      </c>
      <c r="C11" s="32">
        <f t="shared" si="2"/>
        <v>40.614886731391586</v>
      </c>
      <c r="D11" s="236">
        <v>25000</v>
      </c>
      <c r="E11" s="32">
        <f t="shared" si="0"/>
        <v>139.04</v>
      </c>
      <c r="F11" s="18">
        <v>12000000</v>
      </c>
      <c r="G11" s="205">
        <f t="shared" si="1"/>
        <v>289.66666666666669</v>
      </c>
    </row>
    <row r="12" spans="1:7">
      <c r="A12" s="292">
        <v>1400</v>
      </c>
      <c r="B12" s="293">
        <v>4800</v>
      </c>
      <c r="C12" s="32">
        <f t="shared" si="2"/>
        <v>38.089758342922899</v>
      </c>
      <c r="D12" s="236">
        <v>26000</v>
      </c>
      <c r="E12" s="32">
        <f t="shared" si="0"/>
        <v>184.61538461538461</v>
      </c>
      <c r="F12" s="18">
        <v>12000000</v>
      </c>
      <c r="G12" s="205">
        <f t="shared" si="1"/>
        <v>400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1" workbookViewId="0">
      <selection activeCell="I38" sqref="I3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5519</v>
      </c>
    </row>
    <row r="29" spans="2:21">
      <c r="G29" s="11">
        <f t="shared" ref="G29:G48" si="5">$I$49-I29</f>
        <v>28000</v>
      </c>
      <c r="H29" s="11" t="s">
        <v>5279</v>
      </c>
      <c r="I29" s="11">
        <v>270000</v>
      </c>
      <c r="J29" s="11" t="s">
        <v>560</v>
      </c>
    </row>
    <row r="30" spans="2:21">
      <c r="G30" s="11">
        <f t="shared" si="5"/>
        <v>28000</v>
      </c>
      <c r="H30" s="11" t="s">
        <v>5279</v>
      </c>
      <c r="I30" s="11">
        <v>270000</v>
      </c>
      <c r="J30" s="11" t="s">
        <v>561</v>
      </c>
    </row>
    <row r="31" spans="2:21">
      <c r="G31" s="11">
        <f t="shared" si="5"/>
        <v>2558</v>
      </c>
      <c r="H31" s="11" t="s">
        <v>6860</v>
      </c>
      <c r="I31" s="11">
        <v>295442</v>
      </c>
      <c r="J31" s="11" t="s">
        <v>475</v>
      </c>
    </row>
    <row r="32" spans="2:21">
      <c r="G32" s="11">
        <f t="shared" si="5"/>
        <v>113000</v>
      </c>
      <c r="H32" s="57" t="s">
        <v>778</v>
      </c>
      <c r="I32" s="11">
        <v>185000</v>
      </c>
      <c r="J32" s="11" t="s">
        <v>555</v>
      </c>
    </row>
    <row r="33" spans="6:23">
      <c r="G33" s="11">
        <f t="shared" si="5"/>
        <v>14000</v>
      </c>
      <c r="H33" s="11" t="s">
        <v>6244</v>
      </c>
      <c r="I33" s="11">
        <v>284000</v>
      </c>
      <c r="J33" s="11" t="s">
        <v>562</v>
      </c>
    </row>
    <row r="34" spans="6:23">
      <c r="G34" s="11">
        <f t="shared" si="5"/>
        <v>14000</v>
      </c>
      <c r="H34" s="11" t="s">
        <v>6244</v>
      </c>
      <c r="I34" s="11">
        <v>284000</v>
      </c>
      <c r="J34" s="11" t="s">
        <v>563</v>
      </c>
    </row>
    <row r="35" spans="6:23">
      <c r="G35" s="11">
        <f t="shared" si="5"/>
        <v>2558</v>
      </c>
      <c r="H35" s="11" t="s">
        <v>6860</v>
      </c>
      <c r="I35" s="11">
        <v>295442</v>
      </c>
      <c r="J35" s="11" t="s">
        <v>564</v>
      </c>
    </row>
    <row r="36" spans="6:23">
      <c r="F36" t="s">
        <v>25</v>
      </c>
      <c r="G36" s="11">
        <f t="shared" si="5"/>
        <v>34000</v>
      </c>
      <c r="H36" s="11" t="s">
        <v>5321</v>
      </c>
      <c r="I36" s="11">
        <v>264000</v>
      </c>
      <c r="J36" s="11" t="s">
        <v>635</v>
      </c>
      <c r="O36" s="22"/>
    </row>
    <row r="37" spans="6:23">
      <c r="G37" s="11">
        <f t="shared" si="5"/>
        <v>0</v>
      </c>
      <c r="H37" s="11" t="s">
        <v>6973</v>
      </c>
      <c r="I37" s="11">
        <v>298000</v>
      </c>
      <c r="J37" s="11" t="s">
        <v>644</v>
      </c>
    </row>
    <row r="38" spans="6:23">
      <c r="G38" s="11">
        <f t="shared" si="5"/>
        <v>73500</v>
      </c>
      <c r="H38" s="11" t="s">
        <v>702</v>
      </c>
      <c r="I38" s="11">
        <v>224500</v>
      </c>
      <c r="J38" s="11" t="s">
        <v>701</v>
      </c>
      <c r="M38" s="25"/>
      <c r="N38" s="25"/>
      <c r="O38" s="25"/>
      <c r="P38" s="25"/>
      <c r="Q38" s="25"/>
      <c r="R38" s="25"/>
      <c r="S38" s="25"/>
      <c r="T38" s="25"/>
      <c r="U38" s="25"/>
      <c r="V38" s="25"/>
      <c r="W38" s="25"/>
    </row>
    <row r="39" spans="6:23">
      <c r="G39" s="11">
        <f t="shared" si="5"/>
        <v>108000</v>
      </c>
      <c r="H39" s="11" t="s">
        <v>736</v>
      </c>
      <c r="I39" s="11">
        <v>190000</v>
      </c>
      <c r="J39" s="11" t="s">
        <v>735</v>
      </c>
      <c r="M39" s="25"/>
      <c r="N39" s="25"/>
      <c r="O39" s="25"/>
      <c r="P39" s="25"/>
      <c r="Q39" s="25"/>
      <c r="R39" s="25"/>
      <c r="S39" s="25"/>
      <c r="T39" s="25"/>
      <c r="U39" s="25"/>
      <c r="V39" s="25"/>
      <c r="W39" s="25"/>
    </row>
    <row r="40" spans="6:23">
      <c r="G40" s="11">
        <f t="shared" si="5"/>
        <v>73000</v>
      </c>
      <c r="H40" s="11" t="s">
        <v>734</v>
      </c>
      <c r="I40" s="11">
        <v>225000</v>
      </c>
      <c r="J40" s="11" t="s">
        <v>733</v>
      </c>
      <c r="M40" s="25"/>
      <c r="N40" s="25"/>
      <c r="O40" s="25"/>
      <c r="P40" s="25"/>
      <c r="Q40" s="25"/>
      <c r="R40" s="25"/>
      <c r="S40" s="25"/>
      <c r="T40" s="25"/>
      <c r="U40" s="25"/>
      <c r="V40" s="25"/>
      <c r="W40" s="25"/>
    </row>
    <row r="41" spans="6:23">
      <c r="G41" s="11">
        <f t="shared" si="5"/>
        <v>67000</v>
      </c>
      <c r="H41" s="11" t="s">
        <v>1085</v>
      </c>
      <c r="I41" s="11">
        <v>231000</v>
      </c>
      <c r="J41" s="11" t="s">
        <v>772</v>
      </c>
      <c r="M41" s="25"/>
      <c r="N41" s="25"/>
      <c r="O41" s="69"/>
      <c r="P41" s="25"/>
      <c r="Q41" s="69"/>
      <c r="R41" s="69"/>
      <c r="S41" s="28"/>
      <c r="T41" s="28"/>
      <c r="U41" s="28"/>
      <c r="V41" s="28"/>
      <c r="W41" s="28"/>
    </row>
    <row r="42" spans="6:23">
      <c r="G42" s="11">
        <f t="shared" si="5"/>
        <v>82000</v>
      </c>
      <c r="H42" s="11" t="s">
        <v>773</v>
      </c>
      <c r="I42" s="11">
        <v>216000</v>
      </c>
      <c r="J42" s="11" t="s">
        <v>774</v>
      </c>
      <c r="M42" s="25"/>
      <c r="N42" s="25"/>
      <c r="O42" s="69"/>
      <c r="P42" s="25"/>
      <c r="Q42" s="69"/>
      <c r="R42" s="69"/>
      <c r="S42" s="28"/>
      <c r="T42" s="28"/>
      <c r="U42" s="25"/>
      <c r="V42" s="28"/>
      <c r="W42" s="28"/>
    </row>
    <row r="43" spans="6:23">
      <c r="G43" s="11">
        <f t="shared" si="5"/>
        <v>71000</v>
      </c>
      <c r="H43" s="11" t="s">
        <v>795</v>
      </c>
      <c r="I43" s="11">
        <v>227000</v>
      </c>
      <c r="J43" s="11" t="s">
        <v>796</v>
      </c>
      <c r="M43" s="25"/>
      <c r="N43" s="25"/>
      <c r="O43" s="25"/>
      <c r="P43" s="25"/>
      <c r="Q43" s="28"/>
      <c r="R43" s="25"/>
      <c r="S43" s="28"/>
      <c r="T43" s="25"/>
      <c r="U43" s="25"/>
      <c r="V43" s="25"/>
      <c r="W43" s="25"/>
    </row>
    <row r="44" spans="6:23">
      <c r="G44" s="11">
        <f t="shared" si="5"/>
        <v>69000</v>
      </c>
      <c r="H44" s="11" t="s">
        <v>858</v>
      </c>
      <c r="I44" s="11">
        <v>229000</v>
      </c>
      <c r="J44" s="11" t="s">
        <v>477</v>
      </c>
      <c r="M44" s="25"/>
      <c r="N44" s="25"/>
      <c r="O44" s="25"/>
      <c r="P44" s="25"/>
      <c r="Q44" s="25"/>
      <c r="R44" s="25"/>
      <c r="S44" s="25"/>
      <c r="T44" s="25"/>
      <c r="U44" s="25"/>
      <c r="V44" s="25"/>
      <c r="W44" s="25"/>
    </row>
    <row r="45" spans="6:23">
      <c r="G45" s="11">
        <f t="shared" si="5"/>
        <v>67000</v>
      </c>
      <c r="H45" s="11" t="s">
        <v>1085</v>
      </c>
      <c r="I45" s="11">
        <v>231000</v>
      </c>
      <c r="J45" s="11" t="s">
        <v>1084</v>
      </c>
      <c r="M45" s="25"/>
      <c r="N45" s="25"/>
      <c r="O45" s="25"/>
      <c r="P45" s="25"/>
      <c r="Q45" s="25"/>
      <c r="R45" s="25"/>
      <c r="S45" s="28"/>
      <c r="T45" s="25"/>
      <c r="U45" s="25"/>
      <c r="V45" s="25"/>
      <c r="W45" s="25"/>
    </row>
    <row r="46" spans="6:23">
      <c r="G46" s="11">
        <f t="shared" si="5"/>
        <v>49800</v>
      </c>
      <c r="H46" s="11" t="s">
        <v>4709</v>
      </c>
      <c r="I46" s="11">
        <v>248200</v>
      </c>
      <c r="J46" s="11" t="s">
        <v>4718</v>
      </c>
      <c r="M46" s="25"/>
      <c r="N46" s="25"/>
      <c r="O46" s="25"/>
      <c r="P46" s="25"/>
      <c r="Q46" s="25"/>
      <c r="R46" s="25"/>
      <c r="S46" s="25"/>
      <c r="T46" s="25"/>
      <c r="U46" s="25"/>
      <c r="V46" s="25"/>
      <c r="W46" s="25"/>
    </row>
    <row r="47" spans="6:23">
      <c r="G47" s="97">
        <f t="shared" si="5"/>
        <v>41000</v>
      </c>
      <c r="H47" s="97" t="s">
        <v>5094</v>
      </c>
      <c r="I47" s="97">
        <v>257000</v>
      </c>
      <c r="J47" s="97" t="s">
        <v>5125</v>
      </c>
      <c r="M47" s="25"/>
      <c r="N47" s="25"/>
      <c r="O47" s="25"/>
      <c r="P47" s="25"/>
      <c r="Q47" s="25"/>
      <c r="R47" s="25"/>
      <c r="S47" s="25"/>
      <c r="T47" s="25"/>
      <c r="U47" s="25"/>
      <c r="V47" s="25"/>
      <c r="W47" s="25"/>
    </row>
    <row r="48" spans="6:23">
      <c r="G48" s="97">
        <f t="shared" si="5"/>
        <v>22140</v>
      </c>
      <c r="H48" s="97" t="s">
        <v>5767</v>
      </c>
      <c r="I48" s="97">
        <v>275860</v>
      </c>
      <c r="J48" s="97" t="s">
        <v>5766</v>
      </c>
      <c r="M48" s="25"/>
      <c r="N48" s="25"/>
      <c r="O48" s="25"/>
      <c r="P48" s="25"/>
      <c r="Q48" s="25"/>
      <c r="R48" s="25"/>
      <c r="S48" s="25"/>
      <c r="T48" s="25"/>
      <c r="U48" s="25"/>
      <c r="V48" s="25"/>
      <c r="W48" s="25"/>
    </row>
    <row r="49" spans="7:23">
      <c r="G49" s="11"/>
      <c r="H49" s="11" t="s">
        <v>6853</v>
      </c>
      <c r="I49" s="11">
        <v>298000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5520</v>
      </c>
      <c r="M53" s="25"/>
      <c r="N53" s="25"/>
      <c r="O53" s="68"/>
      <c r="P53" s="25"/>
      <c r="Q53" s="69"/>
      <c r="R53" s="25"/>
      <c r="S53" s="69"/>
      <c r="T53" s="25"/>
      <c r="U53" s="25"/>
      <c r="V53" s="25"/>
      <c r="W53" s="25"/>
    </row>
    <row r="54" spans="7:23">
      <c r="G54" s="97">
        <f>$I$73-I54</f>
        <v>17200</v>
      </c>
      <c r="H54" s="97" t="s">
        <v>5279</v>
      </c>
      <c r="I54" s="97">
        <v>38000</v>
      </c>
      <c r="J54" s="97" t="s">
        <v>560</v>
      </c>
      <c r="M54" s="25"/>
      <c r="N54" s="25"/>
      <c r="O54" s="25"/>
      <c r="P54" s="25"/>
      <c r="Q54" s="69"/>
      <c r="R54" s="25"/>
      <c r="S54" s="69"/>
      <c r="T54" s="25"/>
      <c r="U54" s="25"/>
      <c r="V54" s="25"/>
      <c r="W54" s="25"/>
    </row>
    <row r="55" spans="7:23">
      <c r="G55" s="97">
        <f t="shared" ref="G55:G72" si="6">$I$73-I55</f>
        <v>17200</v>
      </c>
      <c r="H55" s="97" t="s">
        <v>5279</v>
      </c>
      <c r="I55" s="97">
        <v>38000</v>
      </c>
      <c r="J55" s="97" t="s">
        <v>561</v>
      </c>
      <c r="M55" s="25"/>
      <c r="N55" s="25"/>
      <c r="O55" s="25"/>
      <c r="P55" s="25"/>
      <c r="Q55" s="69"/>
      <c r="R55" s="25"/>
      <c r="S55" s="69"/>
      <c r="T55" s="25"/>
      <c r="U55" s="28"/>
      <c r="V55" s="25"/>
      <c r="W55" s="25"/>
    </row>
    <row r="56" spans="7:23">
      <c r="G56" s="97">
        <f t="shared" si="6"/>
        <v>3300</v>
      </c>
      <c r="H56" s="97" t="s">
        <v>6409</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5736</v>
      </c>
      <c r="I58" s="97">
        <v>42500</v>
      </c>
      <c r="J58" s="97" t="s">
        <v>562</v>
      </c>
      <c r="M58" s="25"/>
      <c r="N58" s="25"/>
      <c r="O58" s="25"/>
      <c r="P58" s="25"/>
      <c r="Q58" s="69"/>
      <c r="R58" s="25"/>
      <c r="S58" s="69"/>
      <c r="T58" s="25"/>
      <c r="U58" s="25"/>
      <c r="V58" s="25"/>
      <c r="W58" s="25"/>
    </row>
    <row r="59" spans="7:23">
      <c r="G59" s="97">
        <f t="shared" si="6"/>
        <v>12700</v>
      </c>
      <c r="H59" s="97" t="s">
        <v>5736</v>
      </c>
      <c r="I59" s="97">
        <v>42500</v>
      </c>
      <c r="J59" s="97" t="s">
        <v>563</v>
      </c>
      <c r="M59" s="25"/>
      <c r="N59" s="25"/>
      <c r="O59" s="25"/>
      <c r="P59" s="25"/>
      <c r="Q59" s="69"/>
      <c r="R59" s="25"/>
      <c r="S59" s="69"/>
      <c r="T59" s="25"/>
      <c r="U59" s="25"/>
      <c r="V59" s="25"/>
      <c r="W59" s="25"/>
    </row>
    <row r="60" spans="7:23">
      <c r="G60" s="97">
        <f t="shared" si="6"/>
        <v>3300</v>
      </c>
      <c r="H60" s="97" t="s">
        <v>6409</v>
      </c>
      <c r="I60" s="97">
        <v>51900</v>
      </c>
      <c r="J60" s="97" t="s">
        <v>564</v>
      </c>
      <c r="M60" s="25"/>
      <c r="N60" s="25"/>
      <c r="O60" s="25"/>
      <c r="P60" s="25"/>
      <c r="Q60" s="69"/>
      <c r="R60" s="25"/>
      <c r="S60" s="69"/>
      <c r="T60" s="25"/>
      <c r="U60" s="25"/>
      <c r="V60" s="25"/>
      <c r="W60" s="25"/>
    </row>
    <row r="61" spans="7:23">
      <c r="G61" s="97">
        <f t="shared" si="6"/>
        <v>55200</v>
      </c>
      <c r="H61" s="97" t="s">
        <v>5321</v>
      </c>
      <c r="I61" s="97">
        <v>0</v>
      </c>
      <c r="J61" s="97" t="s">
        <v>635</v>
      </c>
      <c r="M61" s="25"/>
      <c r="N61" s="25"/>
      <c r="O61" s="25"/>
      <c r="P61" s="25"/>
      <c r="Q61" s="69"/>
      <c r="R61" s="25"/>
      <c r="S61" s="69"/>
      <c r="T61" s="25"/>
      <c r="U61" s="25"/>
      <c r="V61" s="25"/>
      <c r="W61" s="25"/>
    </row>
    <row r="62" spans="7:23">
      <c r="G62" s="97">
        <f t="shared" si="6"/>
        <v>4700</v>
      </c>
      <c r="H62" s="97" t="s">
        <v>6254</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6254</v>
      </c>
      <c r="I67" s="97">
        <v>50500</v>
      </c>
      <c r="J67" s="97" t="s">
        <v>6357</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5736</v>
      </c>
      <c r="I70" s="97">
        <v>42500</v>
      </c>
      <c r="J70" s="97" t="s">
        <v>1084</v>
      </c>
    </row>
    <row r="71" spans="7:17">
      <c r="G71" s="97">
        <f t="shared" si="6"/>
        <v>55200</v>
      </c>
      <c r="H71" s="97" t="s">
        <v>4709</v>
      </c>
      <c r="I71" s="97">
        <v>0</v>
      </c>
      <c r="J71" s="97" t="s">
        <v>4718</v>
      </c>
    </row>
    <row r="72" spans="7:17">
      <c r="G72" s="97">
        <f t="shared" si="6"/>
        <v>55200</v>
      </c>
      <c r="H72" s="97" t="s">
        <v>5094</v>
      </c>
      <c r="I72" s="97">
        <v>0</v>
      </c>
      <c r="J72" s="97" t="s">
        <v>5125</v>
      </c>
    </row>
    <row r="73" spans="7:17">
      <c r="G73" s="97"/>
      <c r="H73" s="97" t="s">
        <v>6842</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87" t="s">
        <v>6279</v>
      </c>
      <c r="C1" s="487"/>
      <c r="D1" s="487" t="s">
        <v>6280</v>
      </c>
      <c r="E1" s="487"/>
      <c r="G1" s="22"/>
      <c r="R1" s="97" t="s">
        <v>5506</v>
      </c>
      <c r="S1" s="97"/>
      <c r="T1" s="97" t="s">
        <v>933</v>
      </c>
      <c r="U1" s="97" t="s">
        <v>6270</v>
      </c>
      <c r="V1" s="97"/>
      <c r="W1" s="97" t="s">
        <v>933</v>
      </c>
      <c r="X1" s="97" t="s">
        <v>6271</v>
      </c>
      <c r="Y1" s="97"/>
      <c r="Z1" s="97" t="s">
        <v>936</v>
      </c>
      <c r="AA1" s="97" t="s">
        <v>5</v>
      </c>
      <c r="AB1" s="97" t="s">
        <v>6272</v>
      </c>
      <c r="AC1" s="309"/>
      <c r="AD1" s="309" t="s">
        <v>6273</v>
      </c>
    </row>
    <row r="2" spans="1:30">
      <c r="A2" s="296" t="s">
        <v>3623</v>
      </c>
      <c r="B2" s="296" t="s">
        <v>180</v>
      </c>
      <c r="C2" s="296" t="s">
        <v>6281</v>
      </c>
      <c r="D2" s="296" t="s">
        <v>6282</v>
      </c>
      <c r="E2" s="296" t="s">
        <v>6283</v>
      </c>
      <c r="F2" s="296" t="s">
        <v>5300</v>
      </c>
      <c r="G2" s="22"/>
      <c r="H2" s="296" t="s">
        <v>4116</v>
      </c>
      <c r="I2" s="296" t="s">
        <v>5</v>
      </c>
      <c r="R2" s="97" t="s">
        <v>5496</v>
      </c>
      <c r="S2" s="97" t="s">
        <v>6269</v>
      </c>
      <c r="T2" s="97">
        <v>17800</v>
      </c>
      <c r="U2" s="97">
        <v>916</v>
      </c>
      <c r="V2" s="97" t="s">
        <v>4354</v>
      </c>
      <c r="W2" s="97">
        <v>16472</v>
      </c>
      <c r="X2" s="97">
        <v>916</v>
      </c>
      <c r="Y2" s="97"/>
      <c r="Z2" s="93">
        <v>987467</v>
      </c>
      <c r="AA2" s="93">
        <f>Z2/2</f>
        <v>493733.5</v>
      </c>
      <c r="AB2" s="97" t="s">
        <v>5496</v>
      </c>
      <c r="AC2" s="309"/>
      <c r="AD2" s="309">
        <v>1086</v>
      </c>
    </row>
    <row r="3" spans="1:30" s="308" customFormat="1" ht="72.75" customHeight="1">
      <c r="A3" s="305">
        <v>2</v>
      </c>
      <c r="B3" s="305" t="s">
        <v>6349</v>
      </c>
      <c r="C3" s="305" t="s">
        <v>6350</v>
      </c>
      <c r="D3" s="305">
        <v>0</v>
      </c>
      <c r="E3" s="305">
        <v>426136788</v>
      </c>
      <c r="F3" s="305">
        <v>1153060652</v>
      </c>
      <c r="G3" s="22"/>
      <c r="H3" s="112">
        <v>1230000</v>
      </c>
      <c r="I3" s="112">
        <f>H3/2</f>
        <v>615000</v>
      </c>
      <c r="J3" s="308" t="s">
        <v>6352</v>
      </c>
      <c r="R3" s="269" t="s">
        <v>5718</v>
      </c>
      <c r="S3" s="307" t="s">
        <v>6348</v>
      </c>
      <c r="T3" s="269">
        <v>21532</v>
      </c>
      <c r="U3" s="269">
        <v>1859</v>
      </c>
      <c r="V3" s="271" t="s">
        <v>6276</v>
      </c>
      <c r="W3" s="271">
        <v>1187</v>
      </c>
      <c r="X3" s="271">
        <f t="shared" ref="X3:X9" si="0">T3*U3*0.99114/(W3*1.0037158)</f>
        <v>33299.467209851166</v>
      </c>
      <c r="Y3" s="271">
        <f t="shared" ref="Y3:Y9" si="1">T3/W3</f>
        <v>18.139848357203032</v>
      </c>
      <c r="Z3" s="93">
        <v>0</v>
      </c>
      <c r="AA3" s="93">
        <f t="shared" ref="AA3:AA9" si="2">Z3/2</f>
        <v>0</v>
      </c>
      <c r="AB3" s="97" t="s">
        <v>6268</v>
      </c>
      <c r="AC3" s="309"/>
      <c r="AD3" s="309"/>
    </row>
    <row r="4" spans="1:30" s="308" customFormat="1">
      <c r="A4" s="310">
        <v>3</v>
      </c>
      <c r="B4" s="310" t="s">
        <v>6349</v>
      </c>
      <c r="C4" s="310" t="s">
        <v>6351</v>
      </c>
      <c r="D4" s="310">
        <v>0</v>
      </c>
      <c r="E4" s="310">
        <v>259688196</v>
      </c>
      <c r="F4" s="310">
        <v>1412748848</v>
      </c>
      <c r="G4" s="22"/>
      <c r="H4" s="112"/>
      <c r="I4" s="112"/>
      <c r="R4" s="269" t="s">
        <v>5723</v>
      </c>
      <c r="S4" s="269" t="s">
        <v>6275</v>
      </c>
      <c r="T4" s="269">
        <v>22420.1</v>
      </c>
      <c r="U4" s="284">
        <v>1000</v>
      </c>
      <c r="V4" s="271" t="s">
        <v>6277</v>
      </c>
      <c r="W4" s="271">
        <v>1161</v>
      </c>
      <c r="X4" s="271">
        <f t="shared" si="0"/>
        <v>19069.072437793271</v>
      </c>
      <c r="Y4" s="271">
        <f t="shared" si="1"/>
        <v>19.311024978466836</v>
      </c>
      <c r="Z4" s="93">
        <v>19462210</v>
      </c>
      <c r="AA4" s="93">
        <f t="shared" si="2"/>
        <v>9731105</v>
      </c>
      <c r="AB4" s="97" t="s">
        <v>6264</v>
      </c>
      <c r="AC4" s="309"/>
      <c r="AD4" s="309"/>
    </row>
    <row r="5" spans="1:30">
      <c r="A5" s="306"/>
      <c r="B5" s="297" t="s">
        <v>6284</v>
      </c>
      <c r="C5" s="297" t="s">
        <v>6285</v>
      </c>
      <c r="D5" s="297">
        <v>0</v>
      </c>
      <c r="E5" s="297">
        <v>1545379960</v>
      </c>
      <c r="F5" s="297">
        <v>1545486874</v>
      </c>
      <c r="G5" s="22"/>
      <c r="H5" s="112">
        <f>(E5-D7)/10</f>
        <v>19462210.699999999</v>
      </c>
      <c r="I5" s="112">
        <f>H5/2</f>
        <v>9731105.3499999996</v>
      </c>
      <c r="R5" s="269" t="s">
        <v>5724</v>
      </c>
      <c r="S5" s="269" t="s">
        <v>6275</v>
      </c>
      <c r="T5" s="269">
        <v>23233.1</v>
      </c>
      <c r="U5" s="284">
        <v>1000</v>
      </c>
      <c r="V5" s="271" t="s">
        <v>6277</v>
      </c>
      <c r="W5" s="271">
        <v>1152</v>
      </c>
      <c r="X5" s="271">
        <f t="shared" si="0"/>
        <v>19914.936480069027</v>
      </c>
      <c r="Y5" s="271">
        <f t="shared" si="1"/>
        <v>20.167621527777776</v>
      </c>
      <c r="Z5" s="93">
        <v>0</v>
      </c>
      <c r="AA5" s="93">
        <f t="shared" si="2"/>
        <v>0</v>
      </c>
      <c r="AB5" s="97" t="s">
        <v>6264</v>
      </c>
      <c r="AC5" s="309"/>
      <c r="AD5" s="309"/>
    </row>
    <row r="6" spans="1:30">
      <c r="A6" s="296"/>
      <c r="B6" s="298" t="s">
        <v>6284</v>
      </c>
      <c r="C6" s="298" t="s">
        <v>6286</v>
      </c>
      <c r="D6" s="298">
        <v>0</v>
      </c>
      <c r="E6" s="298">
        <v>32194843</v>
      </c>
      <c r="F6" s="298">
        <v>1577681717</v>
      </c>
      <c r="G6" s="22"/>
      <c r="H6" s="112">
        <f>E6/10</f>
        <v>3219484.3</v>
      </c>
      <c r="I6" s="112">
        <f>H6/2</f>
        <v>1609742.15</v>
      </c>
      <c r="R6" s="269" t="s">
        <v>5726</v>
      </c>
      <c r="S6" s="269" t="s">
        <v>6275</v>
      </c>
      <c r="T6" s="269">
        <v>23900</v>
      </c>
      <c r="U6" s="284">
        <v>1000</v>
      </c>
      <c r="V6" s="271" t="s">
        <v>6278</v>
      </c>
      <c r="W6" s="271">
        <v>1153</v>
      </c>
      <c r="X6" s="271">
        <f t="shared" si="0"/>
        <v>20468.821398374203</v>
      </c>
      <c r="Y6" s="271">
        <f t="shared" si="1"/>
        <v>20.7285342584562</v>
      </c>
      <c r="Z6" s="93">
        <v>0</v>
      </c>
      <c r="AA6" s="93">
        <f t="shared" si="2"/>
        <v>0</v>
      </c>
      <c r="AB6" s="97" t="s">
        <v>6264</v>
      </c>
      <c r="AC6" s="309"/>
      <c r="AD6" s="309"/>
    </row>
    <row r="7" spans="1:30">
      <c r="A7" s="306"/>
      <c r="B7" s="297" t="s">
        <v>6284</v>
      </c>
      <c r="C7" s="297" t="s">
        <v>6287</v>
      </c>
      <c r="D7" s="297">
        <v>1350757853</v>
      </c>
      <c r="E7" s="297">
        <v>0</v>
      </c>
      <c r="F7" s="297">
        <v>226923864</v>
      </c>
      <c r="G7" s="22"/>
      <c r="H7" s="112"/>
      <c r="I7" s="112"/>
      <c r="R7" s="269" t="s">
        <v>5736</v>
      </c>
      <c r="S7" s="269" t="s">
        <v>6275</v>
      </c>
      <c r="T7" s="269">
        <v>22500</v>
      </c>
      <c r="U7" s="284">
        <v>2000</v>
      </c>
      <c r="V7" s="271" t="s">
        <v>6277</v>
      </c>
      <c r="W7" s="271">
        <v>1093</v>
      </c>
      <c r="X7" s="271">
        <f t="shared" si="0"/>
        <v>40655.246136679802</v>
      </c>
      <c r="Y7" s="271">
        <f t="shared" si="1"/>
        <v>20.585544373284538</v>
      </c>
      <c r="Z7" s="93">
        <v>0</v>
      </c>
      <c r="AA7" s="93">
        <f t="shared" si="2"/>
        <v>0</v>
      </c>
      <c r="AB7" s="97" t="s">
        <v>6264</v>
      </c>
      <c r="AC7" s="309"/>
      <c r="AD7" s="309"/>
    </row>
    <row r="8" spans="1:30" ht="30">
      <c r="A8" s="41">
        <v>1</v>
      </c>
      <c r="B8" s="298" t="s">
        <v>6288</v>
      </c>
      <c r="C8" s="298" t="s">
        <v>6289</v>
      </c>
      <c r="D8" s="298">
        <v>0</v>
      </c>
      <c r="E8" s="298">
        <v>417254126</v>
      </c>
      <c r="F8" s="298">
        <v>417260507</v>
      </c>
      <c r="G8" s="22" t="s">
        <v>6290</v>
      </c>
      <c r="H8" s="112"/>
      <c r="I8" s="112"/>
      <c r="R8" s="269" t="s">
        <v>6251</v>
      </c>
      <c r="S8" s="269" t="s">
        <v>6274</v>
      </c>
      <c r="T8" s="269">
        <v>23706</v>
      </c>
      <c r="U8" s="284">
        <v>1000</v>
      </c>
      <c r="V8" s="271" t="s">
        <v>4216</v>
      </c>
      <c r="W8" s="271">
        <v>1155</v>
      </c>
      <c r="X8" s="271">
        <f t="shared" si="0"/>
        <v>20267.516662882761</v>
      </c>
      <c r="Y8" s="271">
        <f t="shared" si="1"/>
        <v>20.524675324675325</v>
      </c>
      <c r="Z8" s="93">
        <v>0</v>
      </c>
      <c r="AA8" s="93">
        <f t="shared" si="2"/>
        <v>0</v>
      </c>
      <c r="AB8" s="97" t="s">
        <v>6264</v>
      </c>
      <c r="AC8" s="309"/>
      <c r="AD8" s="309"/>
    </row>
    <row r="9" spans="1:30">
      <c r="A9" s="41">
        <v>2</v>
      </c>
      <c r="B9" s="298" t="s">
        <v>6288</v>
      </c>
      <c r="C9" s="298" t="s">
        <v>6291</v>
      </c>
      <c r="D9" s="298">
        <v>417153593</v>
      </c>
      <c r="E9" s="298">
        <v>0</v>
      </c>
      <c r="F9" s="298">
        <v>106914</v>
      </c>
      <c r="G9" s="22"/>
      <c r="H9" s="112"/>
      <c r="I9" s="112"/>
      <c r="R9" s="60" t="s">
        <v>6251</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6255</v>
      </c>
      <c r="AC9" s="309"/>
      <c r="AD9" s="309" t="s">
        <v>25</v>
      </c>
    </row>
    <row r="10" spans="1:30">
      <c r="A10" s="41">
        <v>3</v>
      </c>
      <c r="B10" s="297" t="s">
        <v>6292</v>
      </c>
      <c r="C10" s="299" t="s">
        <v>6293</v>
      </c>
      <c r="D10" s="299">
        <v>0</v>
      </c>
      <c r="E10" s="299">
        <v>234963645</v>
      </c>
      <c r="F10" s="299">
        <v>235147671</v>
      </c>
      <c r="G10" s="22"/>
      <c r="H10" s="112"/>
      <c r="I10" s="112"/>
      <c r="R10" s="309"/>
      <c r="S10" s="309"/>
      <c r="T10" s="309"/>
      <c r="U10" s="309"/>
      <c r="V10" s="309"/>
      <c r="W10" s="309"/>
      <c r="X10" s="309"/>
      <c r="Y10" s="309"/>
      <c r="Z10" s="309"/>
    </row>
    <row r="11" spans="1:30">
      <c r="A11" s="298">
        <v>4</v>
      </c>
      <c r="B11" s="298" t="s">
        <v>6292</v>
      </c>
      <c r="C11" s="298" t="s">
        <v>6294</v>
      </c>
      <c r="D11" s="298">
        <v>0</v>
      </c>
      <c r="E11" s="298">
        <v>370711163</v>
      </c>
      <c r="F11" s="298">
        <v>605858834</v>
      </c>
      <c r="G11" s="22"/>
      <c r="H11" s="112"/>
      <c r="I11" s="112"/>
      <c r="R11" s="309"/>
      <c r="S11" s="309"/>
      <c r="T11" s="309"/>
      <c r="U11" s="309"/>
      <c r="V11" s="309"/>
      <c r="W11" s="309"/>
      <c r="X11" s="309"/>
      <c r="Y11" s="309"/>
      <c r="Z11" s="309"/>
    </row>
    <row r="12" spans="1:30" ht="30">
      <c r="A12" s="298">
        <v>5</v>
      </c>
      <c r="B12" s="297" t="s">
        <v>6292</v>
      </c>
      <c r="C12" s="298" t="s">
        <v>6295</v>
      </c>
      <c r="D12" s="299">
        <v>605852453</v>
      </c>
      <c r="E12" s="299">
        <v>0</v>
      </c>
      <c r="F12" s="299">
        <v>6381</v>
      </c>
      <c r="G12" s="22" t="s">
        <v>6296</v>
      </c>
      <c r="H12" s="112"/>
      <c r="I12" s="112"/>
      <c r="R12" s="309"/>
      <c r="S12" s="309"/>
      <c r="T12" s="309"/>
      <c r="U12" s="309"/>
      <c r="V12" s="309"/>
      <c r="W12" s="309"/>
      <c r="X12" s="309"/>
      <c r="Y12" s="309"/>
      <c r="Z12" s="309"/>
    </row>
    <row r="13" spans="1:30">
      <c r="A13" s="41">
        <v>11</v>
      </c>
      <c r="B13" s="41" t="s">
        <v>6175</v>
      </c>
      <c r="C13" s="41" t="s">
        <v>6297</v>
      </c>
      <c r="D13" s="41">
        <v>88258180</v>
      </c>
      <c r="E13" s="41">
        <v>0</v>
      </c>
      <c r="F13" s="41">
        <v>184108</v>
      </c>
      <c r="G13" s="22" t="s">
        <v>6298</v>
      </c>
      <c r="H13" s="112"/>
      <c r="I13" s="112"/>
      <c r="R13" s="309"/>
      <c r="S13" s="309"/>
      <c r="T13" s="309"/>
      <c r="U13" s="309"/>
      <c r="V13" s="309"/>
      <c r="W13" s="309"/>
      <c r="X13" s="309"/>
      <c r="Y13" s="309"/>
      <c r="Z13" s="309"/>
    </row>
    <row r="14" spans="1:30">
      <c r="A14" s="300">
        <v>12</v>
      </c>
      <c r="B14" s="300" t="s">
        <v>6299</v>
      </c>
      <c r="C14" s="300" t="s">
        <v>6300</v>
      </c>
      <c r="D14" s="300">
        <v>0</v>
      </c>
      <c r="E14" s="300">
        <v>88371992</v>
      </c>
      <c r="F14" s="300">
        <v>88442288</v>
      </c>
      <c r="G14" s="22"/>
      <c r="H14" s="112"/>
      <c r="I14" s="112"/>
    </row>
    <row r="15" spans="1:30">
      <c r="A15" s="301">
        <v>15</v>
      </c>
      <c r="B15" s="297" t="s">
        <v>6301</v>
      </c>
      <c r="C15" s="301" t="s">
        <v>6302</v>
      </c>
      <c r="D15" s="301">
        <v>0</v>
      </c>
      <c r="E15" s="301">
        <v>446040000</v>
      </c>
      <c r="F15" s="301">
        <v>455337264</v>
      </c>
      <c r="G15" s="22"/>
      <c r="H15" s="112"/>
      <c r="I15" s="112"/>
    </row>
    <row r="16" spans="1:30">
      <c r="A16" s="41">
        <v>16</v>
      </c>
      <c r="B16" s="41" t="s">
        <v>6301</v>
      </c>
      <c r="C16" s="41" t="s">
        <v>6303</v>
      </c>
      <c r="D16" s="41">
        <v>0</v>
      </c>
      <c r="E16" s="41">
        <v>5458523</v>
      </c>
      <c r="F16" s="41">
        <v>460795787</v>
      </c>
      <c r="G16" s="22"/>
      <c r="H16" s="112"/>
      <c r="I16" s="112"/>
    </row>
    <row r="17" spans="1:9">
      <c r="A17" s="301">
        <v>17</v>
      </c>
      <c r="B17" s="297" t="s">
        <v>6301</v>
      </c>
      <c r="C17" s="301" t="s">
        <v>6304</v>
      </c>
      <c r="D17" s="301">
        <v>460784299</v>
      </c>
      <c r="E17" s="301">
        <v>0</v>
      </c>
      <c r="F17" s="301">
        <v>11488</v>
      </c>
      <c r="G17" s="22"/>
      <c r="H17" s="112"/>
      <c r="I17" s="112"/>
    </row>
    <row r="18" spans="1:9">
      <c r="A18" s="302">
        <v>19</v>
      </c>
      <c r="B18" s="297" t="s">
        <v>6305</v>
      </c>
      <c r="C18" s="302" t="s">
        <v>6306</v>
      </c>
      <c r="D18" s="302">
        <v>0</v>
      </c>
      <c r="E18" s="302">
        <v>236896800</v>
      </c>
      <c r="F18" s="302">
        <v>247051542</v>
      </c>
      <c r="G18" s="22"/>
      <c r="H18" s="112"/>
      <c r="I18" s="112"/>
    </row>
    <row r="19" spans="1:9">
      <c r="A19" s="302">
        <v>22</v>
      </c>
      <c r="B19" s="297" t="s">
        <v>6305</v>
      </c>
      <c r="C19" s="302" t="s">
        <v>6307</v>
      </c>
      <c r="D19" s="302">
        <v>244418699</v>
      </c>
      <c r="E19" s="302">
        <v>0</v>
      </c>
      <c r="F19" s="302">
        <v>8048350</v>
      </c>
      <c r="G19" s="22"/>
      <c r="H19" s="112"/>
      <c r="I19" s="112"/>
    </row>
    <row r="20" spans="1:9">
      <c r="A20" s="303">
        <v>23</v>
      </c>
      <c r="B20" s="297" t="s">
        <v>6308</v>
      </c>
      <c r="C20" s="303" t="s">
        <v>6309</v>
      </c>
      <c r="D20" s="303">
        <v>0</v>
      </c>
      <c r="E20" s="303">
        <v>230286491</v>
      </c>
      <c r="F20" s="303">
        <v>238422914</v>
      </c>
      <c r="G20" s="22"/>
      <c r="H20" s="112"/>
      <c r="I20" s="112"/>
    </row>
    <row r="21" spans="1:9">
      <c r="A21" s="303">
        <v>24</v>
      </c>
      <c r="B21" s="297" t="s">
        <v>6308</v>
      </c>
      <c r="C21" s="303" t="s">
        <v>6310</v>
      </c>
      <c r="D21" s="303">
        <v>228268172</v>
      </c>
      <c r="E21" s="303">
        <v>0</v>
      </c>
      <c r="F21" s="303">
        <v>10154742</v>
      </c>
      <c r="G21" s="22"/>
      <c r="H21" s="112"/>
      <c r="I21" s="112"/>
    </row>
    <row r="22" spans="1:9">
      <c r="A22" s="304">
        <v>25</v>
      </c>
      <c r="B22" s="297" t="s">
        <v>6311</v>
      </c>
      <c r="C22" s="304" t="s">
        <v>6312</v>
      </c>
      <c r="D22" s="304">
        <v>0</v>
      </c>
      <c r="E22" s="304">
        <v>222228038</v>
      </c>
      <c r="F22" s="304">
        <v>230347490</v>
      </c>
      <c r="G22" s="22"/>
      <c r="H22" s="112"/>
      <c r="I22" s="112"/>
    </row>
    <row r="23" spans="1:9">
      <c r="A23" s="304">
        <v>26</v>
      </c>
      <c r="B23" s="297" t="s">
        <v>6311</v>
      </c>
      <c r="C23" s="304" t="s">
        <v>6313</v>
      </c>
      <c r="D23" s="304">
        <v>222211067</v>
      </c>
      <c r="E23" s="304">
        <v>0</v>
      </c>
      <c r="F23" s="304">
        <v>8136423</v>
      </c>
      <c r="G23" s="22"/>
      <c r="H23" s="112"/>
      <c r="I23" s="112"/>
    </row>
    <row r="24" spans="1:9">
      <c r="A24" s="305">
        <v>27</v>
      </c>
      <c r="B24" s="305" t="s">
        <v>6314</v>
      </c>
      <c r="C24" s="305" t="s">
        <v>6315</v>
      </c>
      <c r="D24" s="305">
        <v>0</v>
      </c>
      <c r="E24" s="305">
        <v>396757423</v>
      </c>
      <c r="F24" s="305">
        <v>404903981</v>
      </c>
      <c r="G24" s="22"/>
      <c r="H24" s="112"/>
      <c r="I24" s="112"/>
    </row>
    <row r="25" spans="1:9" ht="30">
      <c r="A25" s="305">
        <v>28</v>
      </c>
      <c r="B25" s="305" t="s">
        <v>6314</v>
      </c>
      <c r="C25" s="305" t="s">
        <v>6316</v>
      </c>
      <c r="D25" s="305">
        <v>396784529</v>
      </c>
      <c r="E25" s="305">
        <v>0</v>
      </c>
      <c r="F25" s="305">
        <v>8119452</v>
      </c>
      <c r="G25" s="22" t="s">
        <v>6317</v>
      </c>
      <c r="H25" s="112"/>
      <c r="I25" s="112"/>
    </row>
    <row r="26" spans="1:9">
      <c r="A26" s="41">
        <v>41</v>
      </c>
      <c r="B26" s="41" t="s">
        <v>6318</v>
      </c>
      <c r="C26" s="41" t="s">
        <v>6319</v>
      </c>
      <c r="D26" s="41">
        <v>9935956</v>
      </c>
      <c r="E26" s="41">
        <v>0</v>
      </c>
      <c r="F26" s="41">
        <v>4150875</v>
      </c>
      <c r="G26" s="22"/>
      <c r="H26" s="112"/>
      <c r="I26" s="112"/>
    </row>
    <row r="27" spans="1:9" ht="30">
      <c r="A27" s="300">
        <v>46</v>
      </c>
      <c r="B27" s="300" t="s">
        <v>6320</v>
      </c>
      <c r="C27" s="300" t="s">
        <v>6321</v>
      </c>
      <c r="D27" s="300">
        <v>13072</v>
      </c>
      <c r="E27" s="300">
        <v>0</v>
      </c>
      <c r="F27" s="300">
        <v>4639060</v>
      </c>
      <c r="G27" s="22" t="s">
        <v>6322</v>
      </c>
      <c r="H27" s="112"/>
      <c r="I27" s="112"/>
    </row>
    <row r="28" spans="1:9">
      <c r="A28" s="41">
        <v>59</v>
      </c>
      <c r="B28" s="41" t="s">
        <v>6323</v>
      </c>
      <c r="C28" s="41" t="s">
        <v>6324</v>
      </c>
      <c r="D28" s="41">
        <v>0</v>
      </c>
      <c r="E28" s="41">
        <v>2339234</v>
      </c>
      <c r="F28" s="41">
        <v>2355939</v>
      </c>
      <c r="G28" s="22"/>
      <c r="H28" s="112"/>
      <c r="I28" s="112"/>
    </row>
    <row r="29" spans="1:9">
      <c r="A29" s="301">
        <v>65</v>
      </c>
      <c r="B29" s="301" t="s">
        <v>6325</v>
      </c>
      <c r="C29" s="301" t="s">
        <v>6326</v>
      </c>
      <c r="D29" s="301">
        <v>0</v>
      </c>
      <c r="E29" s="301">
        <v>161458284</v>
      </c>
      <c r="F29" s="301">
        <v>379598720</v>
      </c>
      <c r="G29" s="22" t="s">
        <v>6327</v>
      </c>
      <c r="H29" s="112">
        <f>(E29-D31)/10</f>
        <v>987467.4</v>
      </c>
      <c r="I29" s="112">
        <f>H29/2</f>
        <v>493733.7</v>
      </c>
    </row>
    <row r="30" spans="1:9">
      <c r="A30" s="41">
        <v>66</v>
      </c>
      <c r="B30" s="41" t="s">
        <v>6325</v>
      </c>
      <c r="C30" s="41" t="s">
        <v>6328</v>
      </c>
      <c r="D30" s="41">
        <v>227863316</v>
      </c>
      <c r="E30" s="41">
        <v>0</v>
      </c>
      <c r="F30" s="41">
        <v>151735404</v>
      </c>
      <c r="G30" s="22"/>
    </row>
    <row r="31" spans="1:9">
      <c r="A31" s="301">
        <v>67</v>
      </c>
      <c r="B31" s="301" t="s">
        <v>6325</v>
      </c>
      <c r="C31" s="301" t="s">
        <v>6329</v>
      </c>
      <c r="D31" s="301">
        <v>151583610</v>
      </c>
      <c r="E31" s="301">
        <v>0</v>
      </c>
      <c r="F31" s="301">
        <v>151794</v>
      </c>
      <c r="G31" s="22"/>
    </row>
    <row r="32" spans="1:9">
      <c r="A32" s="41">
        <v>69</v>
      </c>
      <c r="B32" s="41" t="s">
        <v>6330</v>
      </c>
      <c r="C32" s="41" t="s">
        <v>6331</v>
      </c>
      <c r="D32" s="41">
        <v>86650200</v>
      </c>
      <c r="E32" s="41">
        <v>0</v>
      </c>
      <c r="F32" s="41">
        <v>420268653</v>
      </c>
      <c r="G32" s="22"/>
    </row>
    <row r="33" spans="1:9">
      <c r="A33" s="41">
        <v>71</v>
      </c>
      <c r="B33" s="41" t="s">
        <v>6330</v>
      </c>
      <c r="C33" s="41" t="s">
        <v>6332</v>
      </c>
      <c r="D33" s="41">
        <v>135477677</v>
      </c>
      <c r="E33" s="41">
        <v>0</v>
      </c>
      <c r="F33" s="41">
        <v>223507936</v>
      </c>
      <c r="G33" s="22"/>
    </row>
    <row r="34" spans="1:9">
      <c r="A34" s="41">
        <v>73</v>
      </c>
      <c r="B34" s="41" t="s">
        <v>6330</v>
      </c>
      <c r="C34" s="41" t="s">
        <v>6333</v>
      </c>
      <c r="D34" s="41">
        <v>69492638</v>
      </c>
      <c r="E34" s="41">
        <v>0</v>
      </c>
      <c r="F34" s="41">
        <v>153774186</v>
      </c>
      <c r="G34" s="22"/>
    </row>
    <row r="35" spans="1:9">
      <c r="A35" s="41">
        <v>79</v>
      </c>
      <c r="B35" s="41" t="s">
        <v>6334</v>
      </c>
      <c r="C35" s="41" t="s">
        <v>6335</v>
      </c>
      <c r="D35" s="41">
        <v>338468093</v>
      </c>
      <c r="E35" s="41">
        <v>0</v>
      </c>
      <c r="F35" s="41">
        <v>-338350050</v>
      </c>
      <c r="G35" s="22"/>
    </row>
    <row r="36" spans="1:9">
      <c r="A36" s="41">
        <v>80</v>
      </c>
      <c r="B36" s="41" t="s">
        <v>6336</v>
      </c>
      <c r="C36" s="41" t="s">
        <v>6337</v>
      </c>
      <c r="D36" s="41">
        <v>330081591</v>
      </c>
      <c r="E36" s="41">
        <v>0</v>
      </c>
      <c r="F36" s="41">
        <v>-330057613</v>
      </c>
      <c r="G36" s="22"/>
    </row>
    <row r="37" spans="1:9">
      <c r="A37" s="41">
        <v>81</v>
      </c>
      <c r="B37" s="41" t="s">
        <v>6336</v>
      </c>
      <c r="C37" s="41" t="s">
        <v>6338</v>
      </c>
      <c r="D37" s="41">
        <v>169824344</v>
      </c>
      <c r="E37" s="41">
        <v>0</v>
      </c>
      <c r="F37" s="41">
        <v>-499881957</v>
      </c>
      <c r="G37" s="22"/>
    </row>
    <row r="38" spans="1:9">
      <c r="A38" s="41">
        <v>82</v>
      </c>
      <c r="B38" s="41" t="s">
        <v>6339</v>
      </c>
      <c r="C38" s="41" t="s">
        <v>6340</v>
      </c>
      <c r="D38" s="41">
        <v>176497082</v>
      </c>
      <c r="E38" s="41">
        <v>0</v>
      </c>
      <c r="F38" s="41">
        <v>152229958</v>
      </c>
      <c r="G38" s="22"/>
    </row>
    <row r="39" spans="1:9">
      <c r="A39" s="41">
        <v>83</v>
      </c>
      <c r="B39" s="41" t="s">
        <v>6339</v>
      </c>
      <c r="C39" s="41" t="s">
        <v>6341</v>
      </c>
      <c r="D39" s="41">
        <v>152205980</v>
      </c>
      <c r="E39" s="41">
        <v>0</v>
      </c>
      <c r="F39" s="41">
        <v>23978</v>
      </c>
      <c r="G39" s="22"/>
    </row>
    <row r="40" spans="1:9">
      <c r="A40" s="41">
        <v>85</v>
      </c>
      <c r="B40" s="41" t="s">
        <v>6342</v>
      </c>
      <c r="C40" s="41" t="s">
        <v>6343</v>
      </c>
      <c r="D40" s="41">
        <v>170329802</v>
      </c>
      <c r="E40" s="41">
        <v>0</v>
      </c>
      <c r="F40" s="41">
        <v>329670198</v>
      </c>
      <c r="G40" s="22"/>
    </row>
    <row r="41" spans="1:9">
      <c r="A41" s="41">
        <v>86</v>
      </c>
      <c r="B41" s="41" t="s">
        <v>6344</v>
      </c>
      <c r="C41" s="41" t="s">
        <v>6345</v>
      </c>
      <c r="D41" s="41">
        <v>0</v>
      </c>
      <c r="E41" s="41">
        <v>0</v>
      </c>
      <c r="F41" s="41">
        <v>0</v>
      </c>
      <c r="H41" s="94">
        <f>SUM(H6:H40)</f>
        <v>4206951.7</v>
      </c>
      <c r="I41" s="94">
        <f>SUM(I6:I40)</f>
        <v>2103475.85</v>
      </c>
    </row>
    <row r="42" spans="1:9">
      <c r="A42" s="41">
        <v>87</v>
      </c>
      <c r="G42" s="22"/>
      <c r="H42" s="22" t="s">
        <v>6346</v>
      </c>
      <c r="I42" s="94" t="s">
        <v>6347</v>
      </c>
    </row>
    <row r="43" spans="1:9">
      <c r="G43" s="22"/>
    </row>
  </sheetData>
  <mergeCells count="2">
    <mergeCell ref="B1:C1"/>
    <mergeCell ref="D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4431</v>
      </c>
      <c r="M1" s="166" t="s">
        <v>920</v>
      </c>
      <c r="N1" s="54" t="s">
        <v>923</v>
      </c>
      <c r="O1" s="97" t="s">
        <v>8</v>
      </c>
    </row>
    <row r="2" spans="1:20">
      <c r="A2" s="97" t="s">
        <v>4216</v>
      </c>
      <c r="B2" s="198">
        <v>1707</v>
      </c>
      <c r="C2" s="199" t="s">
        <v>4541</v>
      </c>
      <c r="D2" s="97" t="s">
        <v>4446</v>
      </c>
      <c r="J2" s="166">
        <v>1</v>
      </c>
      <c r="K2" s="166" t="s">
        <v>4258</v>
      </c>
      <c r="L2" s="111">
        <v>4270000</v>
      </c>
      <c r="M2" s="166">
        <v>10</v>
      </c>
      <c r="N2" s="111">
        <f>L2*M2</f>
        <v>42700000</v>
      </c>
      <c r="O2" s="97" t="s">
        <v>743</v>
      </c>
    </row>
    <row r="3" spans="1:20">
      <c r="A3" s="97" t="s">
        <v>4519</v>
      </c>
      <c r="B3" s="198">
        <v>1184</v>
      </c>
      <c r="C3" s="199" t="s">
        <v>4525</v>
      </c>
      <c r="D3" s="97"/>
      <c r="J3" s="166">
        <v>2</v>
      </c>
      <c r="K3" s="166" t="s">
        <v>4442</v>
      </c>
      <c r="L3" s="111">
        <v>3845000</v>
      </c>
      <c r="M3" s="166">
        <v>4</v>
      </c>
      <c r="N3" s="111">
        <f>L3*M3</f>
        <v>15380000</v>
      </c>
      <c r="O3" s="97" t="s">
        <v>452</v>
      </c>
    </row>
    <row r="4" spans="1:20">
      <c r="A4" s="97" t="s">
        <v>4520</v>
      </c>
      <c r="B4" s="198">
        <v>1804</v>
      </c>
      <c r="C4" s="199" t="s">
        <v>4526</v>
      </c>
      <c r="D4" s="97"/>
      <c r="F4" t="s">
        <v>25</v>
      </c>
      <c r="J4" s="166">
        <v>3</v>
      </c>
      <c r="K4" s="166" t="s">
        <v>4204</v>
      </c>
      <c r="L4" s="111">
        <v>3390000</v>
      </c>
      <c r="M4" s="166">
        <v>2</v>
      </c>
      <c r="N4" s="111">
        <f>L4*M4</f>
        <v>6780000</v>
      </c>
      <c r="O4" s="97" t="s">
        <v>743</v>
      </c>
    </row>
    <row r="5" spans="1:20">
      <c r="A5" s="97"/>
      <c r="B5" s="198"/>
      <c r="C5" s="199"/>
      <c r="D5" s="97"/>
      <c r="J5" s="209">
        <v>4</v>
      </c>
      <c r="K5" s="209" t="s">
        <v>4544</v>
      </c>
      <c r="L5" s="210">
        <v>0</v>
      </c>
      <c r="M5" s="209">
        <v>3</v>
      </c>
      <c r="N5" s="210">
        <f>L5*M5</f>
        <v>0</v>
      </c>
      <c r="O5" s="211" t="s">
        <v>4547</v>
      </c>
    </row>
    <row r="6" spans="1:20">
      <c r="A6" s="97" t="s">
        <v>1068</v>
      </c>
      <c r="B6" s="198">
        <v>4060000</v>
      </c>
      <c r="C6" s="167">
        <v>4260000</v>
      </c>
      <c r="D6" s="97" t="s">
        <v>4446</v>
      </c>
      <c r="F6" t="s">
        <v>25</v>
      </c>
      <c r="G6" s="94"/>
      <c r="H6" s="94"/>
      <c r="I6" s="94"/>
      <c r="J6" s="166">
        <v>5</v>
      </c>
      <c r="K6" s="166" t="s">
        <v>4548</v>
      </c>
      <c r="L6" s="111">
        <v>4183832</v>
      </c>
      <c r="M6" s="166">
        <v>6</v>
      </c>
      <c r="N6" s="111">
        <v>25071612</v>
      </c>
      <c r="O6" s="97" t="s">
        <v>452</v>
      </c>
      <c r="P6" s="94"/>
      <c r="Q6" s="94"/>
      <c r="R6" s="94"/>
      <c r="S6" s="94"/>
    </row>
    <row r="7" spans="1:20">
      <c r="A7" s="97" t="s">
        <v>4502</v>
      </c>
      <c r="B7" s="198">
        <v>1689</v>
      </c>
      <c r="C7" s="167"/>
      <c r="D7" s="97"/>
      <c r="F7" s="94">
        <v>0</v>
      </c>
      <c r="G7" s="94"/>
      <c r="H7" s="94"/>
      <c r="I7" s="94"/>
      <c r="J7" s="166">
        <v>6</v>
      </c>
      <c r="K7" s="166" t="s">
        <v>4552</v>
      </c>
      <c r="L7" s="111">
        <v>4186993</v>
      </c>
      <c r="M7" s="166">
        <v>4</v>
      </c>
      <c r="N7" s="111">
        <v>16727037</v>
      </c>
      <c r="O7" s="97" t="s">
        <v>743</v>
      </c>
      <c r="P7" s="94"/>
      <c r="Q7" s="94"/>
      <c r="R7" s="94"/>
      <c r="S7" s="94"/>
    </row>
    <row r="8" spans="1:20">
      <c r="A8" s="97" t="s">
        <v>4476</v>
      </c>
      <c r="B8" s="198">
        <v>3414</v>
      </c>
      <c r="C8" s="167">
        <v>3622</v>
      </c>
      <c r="D8" s="97"/>
      <c r="F8">
        <v>0</v>
      </c>
      <c r="G8" s="94"/>
      <c r="H8" s="94"/>
      <c r="I8" s="94"/>
      <c r="J8" s="166">
        <v>7</v>
      </c>
      <c r="K8" s="166" t="s">
        <v>4557</v>
      </c>
      <c r="L8" s="111">
        <v>4223698</v>
      </c>
      <c r="M8" s="166">
        <v>10</v>
      </c>
      <c r="N8" s="111">
        <v>42236984</v>
      </c>
      <c r="O8" s="97" t="s">
        <v>452</v>
      </c>
      <c r="P8" s="94"/>
      <c r="Q8" s="94"/>
      <c r="R8" s="94"/>
      <c r="S8" s="94"/>
    </row>
    <row r="9" spans="1:20">
      <c r="A9" s="97" t="s">
        <v>4516</v>
      </c>
      <c r="B9" s="198">
        <v>1174</v>
      </c>
      <c r="C9" s="167" t="s">
        <v>25</v>
      </c>
      <c r="D9" s="97"/>
      <c r="F9">
        <v>0</v>
      </c>
      <c r="G9" s="94"/>
      <c r="H9" s="94"/>
      <c r="I9" s="94"/>
      <c r="J9" s="166">
        <v>8</v>
      </c>
      <c r="K9" s="166" t="s">
        <v>4557</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4558</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4558</v>
      </c>
      <c r="L11" s="111">
        <f>N11/M11</f>
        <v>4369699.111111111</v>
      </c>
      <c r="M11" s="166">
        <v>4.5</v>
      </c>
      <c r="N11" s="111">
        <v>19663646</v>
      </c>
      <c r="O11" s="97" t="s">
        <v>452</v>
      </c>
      <c r="P11" s="94"/>
      <c r="Q11" s="94"/>
      <c r="R11" s="94"/>
      <c r="S11" s="94"/>
      <c r="T11" s="94"/>
    </row>
    <row r="12" spans="1:20">
      <c r="A12" s="97" t="s">
        <v>4495</v>
      </c>
      <c r="B12" s="198">
        <v>3965312</v>
      </c>
      <c r="C12" s="167"/>
      <c r="D12" s="57" t="s">
        <v>4772</v>
      </c>
      <c r="F12" s="112">
        <v>0</v>
      </c>
      <c r="J12" s="166">
        <v>11</v>
      </c>
      <c r="K12" s="166" t="s">
        <v>4579</v>
      </c>
      <c r="L12" s="111">
        <v>4374525</v>
      </c>
      <c r="M12" s="166">
        <v>1</v>
      </c>
      <c r="N12" s="111">
        <v>4374525</v>
      </c>
      <c r="O12" s="97" t="s">
        <v>743</v>
      </c>
      <c r="P12" s="94"/>
      <c r="Q12" s="94"/>
      <c r="R12" s="94"/>
      <c r="S12" s="94"/>
    </row>
    <row r="13" spans="1:20">
      <c r="A13" s="97"/>
      <c r="B13" s="198"/>
      <c r="C13" s="167"/>
      <c r="D13" s="97"/>
      <c r="F13" s="112">
        <v>0</v>
      </c>
      <c r="J13" s="166">
        <v>12</v>
      </c>
      <c r="K13" s="166" t="s">
        <v>4579</v>
      </c>
      <c r="L13" s="111">
        <v>4374525</v>
      </c>
      <c r="M13" s="166">
        <v>1</v>
      </c>
      <c r="N13" s="111">
        <v>4374525</v>
      </c>
      <c r="O13" s="97" t="s">
        <v>452</v>
      </c>
      <c r="P13" s="94"/>
      <c r="Q13" s="94"/>
      <c r="R13" s="94"/>
      <c r="S13" s="94"/>
    </row>
    <row r="14" spans="1:20">
      <c r="A14" s="97"/>
      <c r="B14" s="198"/>
      <c r="C14" s="167"/>
      <c r="D14" s="97"/>
      <c r="F14" s="112">
        <v>0</v>
      </c>
      <c r="J14" s="166">
        <v>13</v>
      </c>
      <c r="K14" s="166" t="s">
        <v>4590</v>
      </c>
      <c r="L14" s="167">
        <v>4367053</v>
      </c>
      <c r="M14" s="166">
        <v>1.5</v>
      </c>
      <c r="N14" s="111">
        <v>6550580</v>
      </c>
      <c r="O14" s="97" t="s">
        <v>743</v>
      </c>
    </row>
    <row r="15" spans="1:20">
      <c r="A15" s="97"/>
      <c r="B15" s="198"/>
      <c r="C15" s="167"/>
      <c r="D15" s="97"/>
      <c r="F15" s="112">
        <f>B12+F7+F8+F9+F10+F11+F12+F13+F14</f>
        <v>3965312</v>
      </c>
      <c r="J15" s="166">
        <v>14</v>
      </c>
      <c r="K15" s="166" t="s">
        <v>4590</v>
      </c>
      <c r="L15" s="167">
        <v>4367053</v>
      </c>
      <c r="M15" s="166">
        <v>1.5</v>
      </c>
      <c r="N15" s="111">
        <v>6550580</v>
      </c>
      <c r="O15" s="97" t="s">
        <v>452</v>
      </c>
    </row>
    <row r="16" spans="1:20">
      <c r="A16" s="97"/>
      <c r="B16" s="198"/>
      <c r="C16" s="167"/>
      <c r="D16" s="97"/>
      <c r="J16" s="203">
        <v>15</v>
      </c>
      <c r="K16" s="203" t="s">
        <v>4592</v>
      </c>
      <c r="L16" s="167">
        <v>4433930</v>
      </c>
      <c r="M16" s="203">
        <v>1.5</v>
      </c>
      <c r="N16" s="111">
        <f>L16*M16</f>
        <v>6650895</v>
      </c>
      <c r="O16" s="97" t="s">
        <v>743</v>
      </c>
    </row>
    <row r="17" spans="1:20">
      <c r="A17" s="97"/>
      <c r="J17" s="203">
        <v>16</v>
      </c>
      <c r="K17" s="203" t="s">
        <v>4592</v>
      </c>
      <c r="L17" s="167">
        <v>4433930</v>
      </c>
      <c r="M17" s="203">
        <v>1.5</v>
      </c>
      <c r="N17" s="111">
        <f>L17*M17</f>
        <v>6650895</v>
      </c>
      <c r="O17" s="97" t="s">
        <v>452</v>
      </c>
    </row>
    <row r="18" spans="1:20">
      <c r="A18" s="94"/>
      <c r="B18" s="94"/>
      <c r="C18" s="94"/>
      <c r="D18" s="94"/>
      <c r="J18" s="205">
        <v>17</v>
      </c>
      <c r="K18" s="205" t="s">
        <v>4605</v>
      </c>
      <c r="L18" s="167">
        <v>4291628</v>
      </c>
      <c r="M18" s="205">
        <v>0.5</v>
      </c>
      <c r="N18" s="111">
        <v>2145814</v>
      </c>
      <c r="O18" s="97" t="s">
        <v>743</v>
      </c>
    </row>
    <row r="19" spans="1:20">
      <c r="A19" s="94"/>
      <c r="B19" s="94"/>
      <c r="C19" s="94"/>
      <c r="D19" s="94"/>
      <c r="J19" s="205">
        <v>18</v>
      </c>
      <c r="K19" s="205" t="s">
        <v>4605</v>
      </c>
      <c r="L19" s="167">
        <v>4291628</v>
      </c>
      <c r="M19" s="205">
        <v>0.5</v>
      </c>
      <c r="N19" s="111">
        <v>2145814</v>
      </c>
      <c r="O19" s="97" t="s">
        <v>452</v>
      </c>
      <c r="R19" t="s">
        <v>25</v>
      </c>
      <c r="T19" t="s">
        <v>25</v>
      </c>
    </row>
    <row r="20" spans="1:20">
      <c r="J20" s="205">
        <v>19</v>
      </c>
      <c r="K20" s="205" t="s">
        <v>4616</v>
      </c>
      <c r="L20" s="167">
        <v>4369730</v>
      </c>
      <c r="M20" s="205">
        <v>1</v>
      </c>
      <c r="N20" s="111">
        <f t="shared" ref="N20:N38" si="0">L20*M20</f>
        <v>4369730</v>
      </c>
      <c r="O20" s="97" t="s">
        <v>743</v>
      </c>
    </row>
    <row r="21" spans="1:20">
      <c r="J21" s="205">
        <v>20</v>
      </c>
      <c r="K21" s="205" t="s">
        <v>4616</v>
      </c>
      <c r="L21" s="167">
        <v>4369730</v>
      </c>
      <c r="M21" s="205">
        <v>1</v>
      </c>
      <c r="N21" s="111">
        <f t="shared" si="0"/>
        <v>4369730</v>
      </c>
      <c r="O21" s="97" t="s">
        <v>452</v>
      </c>
      <c r="R21" t="s">
        <v>25</v>
      </c>
    </row>
    <row r="22" spans="1:20">
      <c r="J22" s="166">
        <v>21</v>
      </c>
      <c r="K22" s="166" t="s">
        <v>4617</v>
      </c>
      <c r="L22" s="111">
        <v>4398820</v>
      </c>
      <c r="M22" s="166">
        <v>2</v>
      </c>
      <c r="N22" s="111">
        <f t="shared" si="0"/>
        <v>8797640</v>
      </c>
      <c r="O22" s="97" t="s">
        <v>743</v>
      </c>
      <c r="R22" t="s">
        <v>25</v>
      </c>
    </row>
    <row r="23" spans="1:20">
      <c r="A23" s="97" t="s">
        <v>180</v>
      </c>
      <c r="B23" s="97" t="s">
        <v>4610</v>
      </c>
      <c r="C23" s="97" t="s">
        <v>4611</v>
      </c>
      <c r="D23" s="97" t="s">
        <v>4612</v>
      </c>
      <c r="E23" s="67" t="s">
        <v>4613</v>
      </c>
      <c r="J23" s="205">
        <v>22</v>
      </c>
      <c r="K23" s="205" t="s">
        <v>4617</v>
      </c>
      <c r="L23" s="111">
        <v>4398820</v>
      </c>
      <c r="M23" s="205">
        <v>2</v>
      </c>
      <c r="N23" s="111">
        <f t="shared" si="0"/>
        <v>8797640</v>
      </c>
      <c r="O23" s="97" t="s">
        <v>452</v>
      </c>
      <c r="Q23" t="s">
        <v>25</v>
      </c>
      <c r="R23" t="s">
        <v>25</v>
      </c>
    </row>
    <row r="24" spans="1:20">
      <c r="A24" s="97" t="s">
        <v>4581</v>
      </c>
      <c r="B24" s="93">
        <v>4080000</v>
      </c>
      <c r="C24" s="93">
        <v>4200000</v>
      </c>
      <c r="D24" s="93"/>
      <c r="E24" s="93"/>
      <c r="J24" s="209">
        <v>23</v>
      </c>
      <c r="K24" s="209" t="s">
        <v>4617</v>
      </c>
      <c r="L24" s="210">
        <v>4388600</v>
      </c>
      <c r="M24" s="209">
        <v>5</v>
      </c>
      <c r="N24" s="210">
        <f t="shared" si="0"/>
        <v>21943000</v>
      </c>
      <c r="O24" s="211" t="s">
        <v>4628</v>
      </c>
    </row>
    <row r="25" spans="1:20">
      <c r="A25" s="97" t="s">
        <v>4590</v>
      </c>
      <c r="B25" s="93">
        <v>4100000</v>
      </c>
      <c r="C25" s="93">
        <v>4230000</v>
      </c>
      <c r="D25" s="93"/>
      <c r="E25" s="93"/>
      <c r="J25" s="205">
        <v>24</v>
      </c>
      <c r="K25" s="205" t="s">
        <v>4618</v>
      </c>
      <c r="L25" s="111">
        <v>4445103</v>
      </c>
      <c r="M25" s="205">
        <v>1.5</v>
      </c>
      <c r="N25" s="111">
        <f t="shared" si="0"/>
        <v>6667654.5</v>
      </c>
      <c r="O25" s="97" t="s">
        <v>743</v>
      </c>
    </row>
    <row r="26" spans="1:20">
      <c r="A26" s="97" t="s">
        <v>4592</v>
      </c>
      <c r="B26" s="93">
        <v>4230000</v>
      </c>
      <c r="C26" s="93">
        <v>4330000</v>
      </c>
      <c r="D26" s="93">
        <v>12200</v>
      </c>
      <c r="E26" s="93">
        <v>12350</v>
      </c>
      <c r="J26" s="205">
        <v>25</v>
      </c>
      <c r="K26" s="205" t="s">
        <v>4618</v>
      </c>
      <c r="L26" s="111">
        <v>4445103</v>
      </c>
      <c r="M26" s="205">
        <v>1.5</v>
      </c>
      <c r="N26" s="111">
        <f t="shared" si="0"/>
        <v>6667654.5</v>
      </c>
      <c r="O26" s="97" t="s">
        <v>452</v>
      </c>
      <c r="R26" t="s">
        <v>25</v>
      </c>
    </row>
    <row r="27" spans="1:20">
      <c r="A27" s="97" t="s">
        <v>4600</v>
      </c>
      <c r="B27" s="93">
        <v>4270000</v>
      </c>
      <c r="C27" s="93">
        <v>4370000</v>
      </c>
      <c r="D27" s="93"/>
      <c r="E27" s="93"/>
      <c r="J27" s="205">
        <v>26</v>
      </c>
      <c r="K27" s="205" t="s">
        <v>4627</v>
      </c>
      <c r="L27" s="111">
        <v>4490623</v>
      </c>
      <c r="M27" s="205">
        <v>2</v>
      </c>
      <c r="N27" s="111">
        <f t="shared" si="0"/>
        <v>8981246</v>
      </c>
      <c r="O27" s="97" t="s">
        <v>743</v>
      </c>
      <c r="R27" t="s">
        <v>25</v>
      </c>
      <c r="S27" t="s">
        <v>25</v>
      </c>
    </row>
    <row r="28" spans="1:20">
      <c r="A28" s="97" t="s">
        <v>4605</v>
      </c>
      <c r="B28" s="93">
        <v>3980000</v>
      </c>
      <c r="C28" s="93">
        <v>4120000</v>
      </c>
      <c r="D28" s="93">
        <v>11450</v>
      </c>
      <c r="E28" s="93">
        <v>11650</v>
      </c>
      <c r="J28" s="205">
        <v>27</v>
      </c>
      <c r="K28" s="205" t="s">
        <v>4627</v>
      </c>
      <c r="L28" s="111">
        <v>4490623</v>
      </c>
      <c r="M28" s="205">
        <v>2</v>
      </c>
      <c r="N28" s="111">
        <f t="shared" si="0"/>
        <v>8981246</v>
      </c>
      <c r="O28" s="97" t="s">
        <v>452</v>
      </c>
    </row>
    <row r="29" spans="1:20">
      <c r="A29" s="97" t="s">
        <v>4607</v>
      </c>
      <c r="B29" s="93">
        <v>4120000</v>
      </c>
      <c r="C29" s="93">
        <v>4230000</v>
      </c>
      <c r="D29" s="93">
        <v>11650</v>
      </c>
      <c r="E29" s="93">
        <v>11750</v>
      </c>
      <c r="J29" s="205">
        <v>28</v>
      </c>
      <c r="K29" s="205" t="s">
        <v>3666</v>
      </c>
      <c r="L29" s="111">
        <v>4590878</v>
      </c>
      <c r="M29" s="205">
        <v>2</v>
      </c>
      <c r="N29" s="111">
        <f t="shared" si="0"/>
        <v>9181756</v>
      </c>
      <c r="O29" s="97" t="s">
        <v>743</v>
      </c>
    </row>
    <row r="30" spans="1:20">
      <c r="A30" s="97" t="s">
        <v>4608</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4614</v>
      </c>
      <c r="B31" s="93">
        <v>4130000</v>
      </c>
      <c r="C31" s="93">
        <v>4260000</v>
      </c>
      <c r="D31" s="93">
        <v>11850</v>
      </c>
      <c r="E31" s="93">
        <v>11950</v>
      </c>
      <c r="J31" s="205">
        <v>30</v>
      </c>
      <c r="K31" s="205" t="s">
        <v>4639</v>
      </c>
      <c r="L31" s="111">
        <v>4724483</v>
      </c>
      <c r="M31" s="205">
        <v>2.5</v>
      </c>
      <c r="N31" s="111">
        <f t="shared" si="0"/>
        <v>11811207.5</v>
      </c>
      <c r="O31" s="97" t="s">
        <v>743</v>
      </c>
    </row>
    <row r="32" spans="1:20">
      <c r="A32" s="97" t="s">
        <v>4616</v>
      </c>
      <c r="B32" s="93">
        <v>4100000</v>
      </c>
      <c r="C32" s="93">
        <v>4220000</v>
      </c>
      <c r="D32" s="93">
        <v>11800</v>
      </c>
      <c r="E32" s="93">
        <v>11980</v>
      </c>
      <c r="J32" s="205">
        <v>31</v>
      </c>
      <c r="K32" s="205" t="s">
        <v>4639</v>
      </c>
      <c r="L32" s="111">
        <v>4724483</v>
      </c>
      <c r="M32" s="205">
        <v>2.5</v>
      </c>
      <c r="N32" s="111">
        <f t="shared" si="0"/>
        <v>11811207.5</v>
      </c>
      <c r="O32" s="97" t="s">
        <v>452</v>
      </c>
    </row>
    <row r="33" spans="1:19">
      <c r="A33" s="97" t="s">
        <v>4617</v>
      </c>
      <c r="B33" s="93">
        <v>4220000</v>
      </c>
      <c r="C33" s="93">
        <v>4320000</v>
      </c>
      <c r="D33" s="93">
        <v>11900</v>
      </c>
      <c r="E33" s="93">
        <v>12050</v>
      </c>
      <c r="J33" s="205">
        <v>32</v>
      </c>
      <c r="K33" s="205" t="s">
        <v>4652</v>
      </c>
      <c r="L33" s="111">
        <v>4852712</v>
      </c>
      <c r="M33" s="205">
        <v>8.5</v>
      </c>
      <c r="N33" s="111">
        <f t="shared" si="0"/>
        <v>41248052</v>
      </c>
      <c r="O33" s="97" t="s">
        <v>743</v>
      </c>
    </row>
    <row r="34" spans="1:19">
      <c r="A34" s="97" t="s">
        <v>4618</v>
      </c>
      <c r="B34" s="93">
        <v>4240000</v>
      </c>
      <c r="C34" s="93">
        <v>4340000</v>
      </c>
      <c r="D34" s="93">
        <v>12100</v>
      </c>
      <c r="E34" s="93">
        <v>12250</v>
      </c>
      <c r="I34" t="s">
        <v>25</v>
      </c>
      <c r="J34" s="205">
        <v>33</v>
      </c>
      <c r="K34" s="205" t="s">
        <v>4652</v>
      </c>
      <c r="L34" s="111">
        <v>4852712</v>
      </c>
      <c r="M34" s="205">
        <v>8.5</v>
      </c>
      <c r="N34" s="111">
        <f t="shared" si="0"/>
        <v>41248052</v>
      </c>
      <c r="O34" s="97" t="s">
        <v>452</v>
      </c>
    </row>
    <row r="35" spans="1:19">
      <c r="A35" s="97" t="s">
        <v>4627</v>
      </c>
      <c r="B35" s="93">
        <v>4230000</v>
      </c>
      <c r="C35" s="93">
        <v>4370000</v>
      </c>
      <c r="D35" s="93">
        <v>12100</v>
      </c>
      <c r="E35" s="93">
        <v>12250</v>
      </c>
      <c r="J35" s="205">
        <v>34</v>
      </c>
      <c r="K35" s="205" t="s">
        <v>4654</v>
      </c>
      <c r="L35" s="111">
        <v>4977171</v>
      </c>
      <c r="M35" s="205">
        <v>7.5</v>
      </c>
      <c r="N35" s="111">
        <f t="shared" si="0"/>
        <v>37328782.5</v>
      </c>
      <c r="O35" s="97" t="s">
        <v>743</v>
      </c>
    </row>
    <row r="36" spans="1:19">
      <c r="A36" s="97" t="s">
        <v>3666</v>
      </c>
      <c r="B36" s="93">
        <v>4300000</v>
      </c>
      <c r="C36" s="93">
        <v>4420000</v>
      </c>
      <c r="D36" s="93">
        <v>12300</v>
      </c>
      <c r="E36" s="93">
        <v>12400</v>
      </c>
      <c r="J36" s="205">
        <v>35</v>
      </c>
      <c r="K36" s="205" t="s">
        <v>4654</v>
      </c>
      <c r="L36" s="111">
        <v>4977171</v>
      </c>
      <c r="M36" s="205">
        <v>7.5</v>
      </c>
      <c r="N36" s="111">
        <f t="shared" si="0"/>
        <v>37328782.5</v>
      </c>
      <c r="O36" s="97" t="s">
        <v>452</v>
      </c>
      <c r="R36" s="94"/>
    </row>
    <row r="37" spans="1:19">
      <c r="A37" s="97" t="s">
        <v>4639</v>
      </c>
      <c r="B37" s="93">
        <v>4370000</v>
      </c>
      <c r="C37" s="93">
        <v>4480000</v>
      </c>
      <c r="D37" s="93">
        <v>12600</v>
      </c>
      <c r="E37" s="93">
        <v>12700</v>
      </c>
      <c r="J37" s="205">
        <v>36</v>
      </c>
      <c r="K37" s="205" t="s">
        <v>4772</v>
      </c>
      <c r="L37" s="111">
        <v>5048479</v>
      </c>
      <c r="M37" s="205">
        <v>4</v>
      </c>
      <c r="N37" s="111">
        <f t="shared" si="0"/>
        <v>20193916</v>
      </c>
      <c r="O37" s="97" t="s">
        <v>743</v>
      </c>
    </row>
    <row r="38" spans="1:19">
      <c r="A38" s="97" t="s">
        <v>4642</v>
      </c>
      <c r="B38" s="93">
        <v>4470000</v>
      </c>
      <c r="C38" s="93">
        <v>4580000</v>
      </c>
      <c r="D38" s="93">
        <v>13050</v>
      </c>
      <c r="E38" s="93">
        <v>13200</v>
      </c>
      <c r="J38" s="205">
        <v>37</v>
      </c>
      <c r="K38" s="205" t="s">
        <v>4772</v>
      </c>
      <c r="L38" s="111">
        <v>5048479</v>
      </c>
      <c r="M38" s="205">
        <v>9</v>
      </c>
      <c r="N38" s="111">
        <f t="shared" si="0"/>
        <v>45436311</v>
      </c>
      <c r="O38" s="97" t="s">
        <v>452</v>
      </c>
    </row>
    <row r="39" spans="1:19">
      <c r="A39" s="97" t="s">
        <v>4647</v>
      </c>
      <c r="B39" s="93">
        <v>4600000</v>
      </c>
      <c r="C39" s="93">
        <v>4720000</v>
      </c>
      <c r="D39" s="93"/>
      <c r="E39" s="93"/>
      <c r="J39" s="205"/>
      <c r="K39" s="205"/>
      <c r="L39" s="111"/>
      <c r="M39" s="205"/>
      <c r="N39" s="111"/>
      <c r="O39" s="97"/>
    </row>
    <row r="40" spans="1:19">
      <c r="A40" s="97" t="s">
        <v>4652</v>
      </c>
      <c r="B40" s="93">
        <v>4530000</v>
      </c>
      <c r="C40" s="93">
        <v>4680000</v>
      </c>
      <c r="D40" s="93">
        <v>13000</v>
      </c>
      <c r="E40" s="93">
        <v>13150</v>
      </c>
      <c r="J40" s="166"/>
      <c r="K40" s="166"/>
      <c r="L40" s="111" t="s">
        <v>25</v>
      </c>
      <c r="M40" s="166"/>
      <c r="N40" s="111"/>
      <c r="O40" s="97"/>
    </row>
    <row r="41" spans="1:19">
      <c r="A41" s="97" t="s">
        <v>4654</v>
      </c>
      <c r="B41" s="93">
        <v>4750000</v>
      </c>
      <c r="C41" s="93">
        <v>4900000</v>
      </c>
      <c r="D41" s="93">
        <v>13750</v>
      </c>
      <c r="E41" s="93">
        <v>13900</v>
      </c>
      <c r="J41" s="166"/>
      <c r="K41" s="166"/>
      <c r="L41" s="166"/>
      <c r="M41" s="166">
        <f>SUM(M2:M40)</f>
        <v>140</v>
      </c>
      <c r="N41" s="111">
        <f>SUM(N2:N40)</f>
        <v>618472600</v>
      </c>
      <c r="O41" s="167">
        <f>N41/(M41-3)</f>
        <v>4514398.5401459858</v>
      </c>
    </row>
    <row r="42" spans="1:19">
      <c r="A42" s="97" t="s">
        <v>4661</v>
      </c>
      <c r="B42" s="93">
        <v>4700000</v>
      </c>
      <c r="C42" s="93">
        <v>4850000</v>
      </c>
      <c r="D42" s="93">
        <v>13650</v>
      </c>
      <c r="E42" s="93">
        <v>13800</v>
      </c>
      <c r="J42" s="166"/>
      <c r="K42" s="166"/>
      <c r="L42" s="166"/>
      <c r="M42" s="166" t="s">
        <v>6</v>
      </c>
      <c r="N42" s="166"/>
      <c r="O42" s="97"/>
      <c r="P42">
        <f>O44/2</f>
        <v>37328780.5</v>
      </c>
      <c r="Q42">
        <f>O44/15</f>
        <v>4977170.7333333334</v>
      </c>
    </row>
    <row r="43" spans="1:19">
      <c r="A43" s="97" t="s">
        <v>4667</v>
      </c>
      <c r="B43" s="93">
        <v>4550000</v>
      </c>
      <c r="C43" s="93">
        <v>4750000</v>
      </c>
      <c r="D43" s="93">
        <v>13400</v>
      </c>
      <c r="E43" s="93">
        <v>13500</v>
      </c>
      <c r="M43" s="111">
        <f>N41/(M41-3)</f>
        <v>4514398.5401459858</v>
      </c>
      <c r="S43" t="s">
        <v>25</v>
      </c>
    </row>
    <row r="44" spans="1:19">
      <c r="A44" s="97" t="s">
        <v>4673</v>
      </c>
      <c r="B44" s="93">
        <v>4580000</v>
      </c>
      <c r="C44" s="93">
        <v>4750000</v>
      </c>
      <c r="D44" s="93">
        <v>13350</v>
      </c>
      <c r="E44" s="93">
        <v>13500</v>
      </c>
      <c r="I44" s="41"/>
      <c r="M44" s="41" t="s">
        <v>4467</v>
      </c>
      <c r="N44" t="s">
        <v>25</v>
      </c>
      <c r="O44" s="212">
        <v>74657561</v>
      </c>
      <c r="R44" t="s">
        <v>25</v>
      </c>
    </row>
    <row r="45" spans="1:19">
      <c r="A45" s="97" t="s">
        <v>4681</v>
      </c>
      <c r="B45" s="93">
        <v>4500000</v>
      </c>
      <c r="C45" s="93">
        <v>4650000</v>
      </c>
      <c r="D45" s="93">
        <v>13250</v>
      </c>
      <c r="E45" s="93">
        <v>13450</v>
      </c>
    </row>
    <row r="46" spans="1:19">
      <c r="A46" s="97" t="s">
        <v>4686</v>
      </c>
      <c r="B46" s="93">
        <v>4620000</v>
      </c>
      <c r="C46" s="93">
        <v>4770000</v>
      </c>
      <c r="D46" s="93">
        <v>13600</v>
      </c>
      <c r="E46" s="93">
        <v>13700</v>
      </c>
    </row>
    <row r="47" spans="1:19">
      <c r="A47" s="97" t="s">
        <v>4690</v>
      </c>
      <c r="B47" s="93">
        <v>4400000</v>
      </c>
      <c r="C47" s="93">
        <v>4600000</v>
      </c>
      <c r="D47" s="93">
        <v>13200</v>
      </c>
      <c r="E47" s="93">
        <v>13400</v>
      </c>
      <c r="L47">
        <f>140-M41</f>
        <v>0</v>
      </c>
      <c r="M47">
        <f>70-M2-M4-M5-M7-M9-M10-M12-M14-M16-M18-M20-M22-M25-M27-M29-M31-M33-M35-M37</f>
        <v>0</v>
      </c>
      <c r="N47" t="s">
        <v>480</v>
      </c>
    </row>
    <row r="48" spans="1:19">
      <c r="A48" s="97" t="s">
        <v>4691</v>
      </c>
      <c r="B48" s="93">
        <v>4250000</v>
      </c>
      <c r="C48" s="93">
        <v>4450000</v>
      </c>
      <c r="D48" s="93">
        <v>12750</v>
      </c>
      <c r="E48" s="93">
        <v>12900</v>
      </c>
      <c r="M48">
        <f>65-M3-M6-M8-M11-M13-M15-M17-M19-M21-M23-M26-M28-M30-M32-M34-M36-M38</f>
        <v>0</v>
      </c>
      <c r="N48" t="s">
        <v>5</v>
      </c>
    </row>
    <row r="49" spans="1:17">
      <c r="A49" s="97" t="s">
        <v>4698</v>
      </c>
      <c r="B49" s="93">
        <v>4380000</v>
      </c>
      <c r="C49" s="93">
        <v>4520000</v>
      </c>
      <c r="D49" s="93">
        <v>12750</v>
      </c>
      <c r="E49" s="93">
        <v>12900</v>
      </c>
      <c r="K49">
        <v>16</v>
      </c>
      <c r="L49" s="212">
        <v>807756734</v>
      </c>
      <c r="M49">
        <f>L49/16</f>
        <v>50484795.875</v>
      </c>
      <c r="N49">
        <f>M49*4</f>
        <v>201939183.5</v>
      </c>
    </row>
    <row r="50" spans="1:17">
      <c r="A50" s="97" t="s">
        <v>4700</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4719</v>
      </c>
      <c r="B52" s="93">
        <v>4480000</v>
      </c>
      <c r="C52" s="93">
        <v>4600000</v>
      </c>
      <c r="D52" s="93">
        <v>13050</v>
      </c>
      <c r="E52" s="93">
        <v>13200</v>
      </c>
      <c r="K52" s="166" t="s">
        <v>4473</v>
      </c>
      <c r="L52" s="166" t="s">
        <v>1068</v>
      </c>
      <c r="M52" s="166" t="s">
        <v>4216</v>
      </c>
      <c r="N52" s="166" t="s">
        <v>4489</v>
      </c>
      <c r="O52" s="166"/>
    </row>
    <row r="53" spans="1:17">
      <c r="A53" s="97" t="s">
        <v>4721</v>
      </c>
      <c r="B53" s="93">
        <v>4400000</v>
      </c>
      <c r="C53" s="93">
        <v>4550000</v>
      </c>
      <c r="D53" s="93">
        <v>12850</v>
      </c>
      <c r="E53" s="93">
        <v>13000</v>
      </c>
      <c r="K53" s="166" t="s">
        <v>4466</v>
      </c>
      <c r="L53" s="166">
        <v>3390000</v>
      </c>
      <c r="M53" s="166">
        <v>161.4</v>
      </c>
      <c r="N53" s="166">
        <f>L53/M53</f>
        <v>21003.717472118959</v>
      </c>
      <c r="O53" s="166"/>
    </row>
    <row r="54" spans="1:17">
      <c r="A54" s="97" t="s">
        <v>4723</v>
      </c>
      <c r="B54" s="93">
        <v>4400000</v>
      </c>
      <c r="C54" s="93">
        <v>4520000</v>
      </c>
      <c r="D54" s="93">
        <v>12800</v>
      </c>
      <c r="E54" s="93">
        <v>12950</v>
      </c>
      <c r="K54" s="166"/>
      <c r="L54" s="166"/>
      <c r="M54" s="166"/>
      <c r="N54" s="166"/>
      <c r="O54" s="166"/>
    </row>
    <row r="55" spans="1:17">
      <c r="A55" s="97" t="s">
        <v>4726</v>
      </c>
      <c r="B55" s="93">
        <v>4460000</v>
      </c>
      <c r="C55" s="93">
        <v>4580000</v>
      </c>
      <c r="D55" s="93">
        <v>12850</v>
      </c>
      <c r="E55" s="93">
        <v>13000</v>
      </c>
      <c r="K55" s="166"/>
      <c r="L55" s="166"/>
      <c r="M55" s="166"/>
      <c r="N55" s="166"/>
      <c r="O55" s="166"/>
    </row>
    <row r="56" spans="1:17">
      <c r="A56" s="97" t="s">
        <v>4732</v>
      </c>
      <c r="B56" s="93">
        <v>4500000</v>
      </c>
      <c r="C56" s="93">
        <v>4620000</v>
      </c>
      <c r="D56" s="93">
        <v>13000</v>
      </c>
      <c r="E56" s="93">
        <v>13200</v>
      </c>
      <c r="K56" s="166"/>
      <c r="L56" s="166"/>
      <c r="M56" s="166"/>
      <c r="N56" s="166"/>
      <c r="O56" s="166"/>
    </row>
    <row r="57" spans="1:17">
      <c r="A57" s="97" t="s">
        <v>4737</v>
      </c>
      <c r="B57" s="93">
        <v>4450000</v>
      </c>
      <c r="C57" s="93">
        <v>4600000</v>
      </c>
      <c r="D57" s="93">
        <v>12850</v>
      </c>
      <c r="E57" s="93">
        <v>13050</v>
      </c>
      <c r="K57" s="166"/>
      <c r="L57" s="166"/>
      <c r="M57" s="166"/>
      <c r="N57" s="166"/>
      <c r="O57" s="166"/>
    </row>
    <row r="58" spans="1:17">
      <c r="A58" s="97" t="s">
        <v>4746</v>
      </c>
      <c r="B58" s="93">
        <v>4500000</v>
      </c>
      <c r="C58" s="93">
        <v>4650000</v>
      </c>
      <c r="D58" s="93">
        <v>12900</v>
      </c>
      <c r="E58" s="93">
        <v>13100</v>
      </c>
      <c r="K58" s="166"/>
      <c r="L58" s="166"/>
      <c r="M58" s="166"/>
      <c r="N58" s="166"/>
      <c r="O58" s="166"/>
    </row>
    <row r="59" spans="1:17">
      <c r="A59" s="97" t="s">
        <v>4772</v>
      </c>
      <c r="B59" s="93">
        <v>4700000</v>
      </c>
      <c r="C59" s="93">
        <v>4800000</v>
      </c>
      <c r="D59" s="93">
        <v>13300</v>
      </c>
      <c r="E59" s="93">
        <v>13450</v>
      </c>
      <c r="K59" s="166"/>
      <c r="L59" s="166"/>
      <c r="M59" s="166"/>
      <c r="N59" s="166"/>
      <c r="O59" s="166"/>
    </row>
    <row r="60" spans="1:17">
      <c r="A60" s="97" t="s">
        <v>4773</v>
      </c>
      <c r="B60" s="93">
        <v>4750000</v>
      </c>
      <c r="C60" s="93">
        <v>4850000</v>
      </c>
      <c r="D60" s="93">
        <v>13500</v>
      </c>
      <c r="E60" s="93">
        <v>13650</v>
      </c>
      <c r="K60" s="166"/>
      <c r="L60" s="166"/>
      <c r="M60" s="166"/>
      <c r="N60" s="166"/>
      <c r="O60" s="166"/>
    </row>
    <row r="61" spans="1:17">
      <c r="A61" s="97" t="s">
        <v>4780</v>
      </c>
      <c r="B61" s="93">
        <v>4850000</v>
      </c>
      <c r="C61" s="93">
        <v>4950000</v>
      </c>
      <c r="D61" s="93">
        <v>13750</v>
      </c>
      <c r="E61" s="93">
        <v>13900</v>
      </c>
    </row>
    <row r="62" spans="1:17">
      <c r="A62" s="97" t="s">
        <v>4796</v>
      </c>
      <c r="B62" s="93">
        <v>4680000</v>
      </c>
      <c r="C62" s="93">
        <v>4780000</v>
      </c>
      <c r="D62" s="93">
        <v>13500</v>
      </c>
      <c r="E62" s="93">
        <v>13650</v>
      </c>
    </row>
    <row r="63" spans="1:17">
      <c r="A63" s="97" t="s">
        <v>4874</v>
      </c>
      <c r="B63" s="93">
        <v>4700000</v>
      </c>
      <c r="C63" s="93">
        <v>4830000</v>
      </c>
      <c r="D63" s="93">
        <v>13850</v>
      </c>
      <c r="E63" s="93">
        <v>14050</v>
      </c>
      <c r="I63" s="205" t="s">
        <v>8</v>
      </c>
      <c r="J63" s="205" t="s">
        <v>4664</v>
      </c>
      <c r="K63" s="205" t="s">
        <v>180</v>
      </c>
      <c r="L63" s="214" t="s">
        <v>4662</v>
      </c>
      <c r="M63" s="214" t="s">
        <v>4663</v>
      </c>
      <c r="N63" s="205" t="s">
        <v>6</v>
      </c>
      <c r="O63" s="205" t="s">
        <v>4665</v>
      </c>
      <c r="P63" s="205" t="s">
        <v>4675</v>
      </c>
    </row>
    <row r="64" spans="1:17">
      <c r="A64" s="97" t="s">
        <v>4912</v>
      </c>
      <c r="B64" s="93">
        <v>4600000</v>
      </c>
      <c r="C64" s="93">
        <v>4700000</v>
      </c>
      <c r="D64" s="93">
        <v>13300</v>
      </c>
      <c r="E64" s="93">
        <v>13500</v>
      </c>
      <c r="G64" t="s">
        <v>25</v>
      </c>
      <c r="I64" s="205"/>
      <c r="J64" s="205"/>
      <c r="K64" s="205" t="s">
        <v>4617</v>
      </c>
      <c r="L64" s="82">
        <v>535989412</v>
      </c>
      <c r="M64" s="82"/>
      <c r="N64" s="205"/>
      <c r="O64" s="205"/>
      <c r="P64" s="205"/>
      <c r="Q64" s="82">
        <v>0</v>
      </c>
    </row>
    <row r="65" spans="1:17">
      <c r="A65" s="97" t="s">
        <v>4947</v>
      </c>
      <c r="B65" s="93">
        <v>4520000</v>
      </c>
      <c r="C65" s="93">
        <v>4620000</v>
      </c>
      <c r="D65" s="93">
        <v>12950</v>
      </c>
      <c r="E65" s="93">
        <v>13150</v>
      </c>
      <c r="I65" s="205"/>
      <c r="J65" s="111">
        <f>L65-L64</f>
        <v>12939932</v>
      </c>
      <c r="K65" s="205" t="s">
        <v>4642</v>
      </c>
      <c r="L65" s="82">
        <v>548929344</v>
      </c>
      <c r="M65" s="82"/>
      <c r="N65" s="205"/>
      <c r="O65" s="205"/>
      <c r="P65" s="205"/>
      <c r="Q65" s="82">
        <v>0</v>
      </c>
    </row>
    <row r="66" spans="1:17">
      <c r="A66" s="97" t="s">
        <v>4981</v>
      </c>
      <c r="B66" s="93">
        <v>3900000</v>
      </c>
      <c r="C66" s="93">
        <v>4050000</v>
      </c>
      <c r="D66" s="93">
        <v>10900</v>
      </c>
      <c r="E66" s="93">
        <v>11150</v>
      </c>
      <c r="F66" t="s">
        <v>25</v>
      </c>
      <c r="I66" s="205"/>
      <c r="J66" s="111">
        <f t="shared" ref="J66:J88" si="1">L66-L65</f>
        <v>11531981</v>
      </c>
      <c r="K66" s="205" t="s">
        <v>4647</v>
      </c>
      <c r="L66" s="82">
        <v>560461325</v>
      </c>
      <c r="M66" s="82"/>
      <c r="N66" s="205"/>
      <c r="O66" s="205"/>
      <c r="P66" s="205"/>
      <c r="Q66" s="82">
        <v>0</v>
      </c>
    </row>
    <row r="67" spans="1:17">
      <c r="A67" s="97" t="s">
        <v>5020</v>
      </c>
      <c r="B67" s="93">
        <v>3950000</v>
      </c>
      <c r="C67" s="93">
        <v>4070000</v>
      </c>
      <c r="D67" s="93">
        <v>11000</v>
      </c>
      <c r="E67" s="93">
        <v>11200</v>
      </c>
      <c r="I67" s="205"/>
      <c r="J67" s="111">
        <f t="shared" si="1"/>
        <v>17387769</v>
      </c>
      <c r="K67" s="205" t="s">
        <v>4652</v>
      </c>
      <c r="L67" s="82">
        <v>577849094</v>
      </c>
      <c r="M67" s="82"/>
      <c r="N67" s="205"/>
      <c r="O67" s="205"/>
      <c r="P67" s="205"/>
      <c r="Q67" s="82">
        <v>0</v>
      </c>
    </row>
    <row r="68" spans="1:17">
      <c r="A68" s="97" t="s">
        <v>5023</v>
      </c>
      <c r="B68" s="93">
        <v>4050000</v>
      </c>
      <c r="C68" s="93">
        <v>4150000</v>
      </c>
      <c r="D68" s="93">
        <v>11150</v>
      </c>
      <c r="E68" s="93">
        <v>11350</v>
      </c>
      <c r="I68" s="205"/>
      <c r="J68" s="111">
        <f t="shared" si="1"/>
        <v>11024486</v>
      </c>
      <c r="K68" s="205" t="s">
        <v>4654</v>
      </c>
      <c r="L68" s="82">
        <v>588873580</v>
      </c>
      <c r="M68" s="82">
        <v>250255923</v>
      </c>
      <c r="N68" s="111">
        <f>L68+M68</f>
        <v>839129503</v>
      </c>
      <c r="O68" s="111">
        <f>M68-M67</f>
        <v>250255923</v>
      </c>
      <c r="P68" s="111">
        <f>N68-N67</f>
        <v>839129503</v>
      </c>
      <c r="Q68" s="82">
        <v>0</v>
      </c>
    </row>
    <row r="69" spans="1:17">
      <c r="A69" s="97" t="s">
        <v>5044</v>
      </c>
      <c r="B69" s="93">
        <v>4060000</v>
      </c>
      <c r="C69" s="93">
        <v>4160000</v>
      </c>
      <c r="D69" s="93">
        <v>11500</v>
      </c>
      <c r="E69" s="93">
        <v>11700</v>
      </c>
      <c r="I69" s="205"/>
      <c r="J69" s="111">
        <f t="shared" si="1"/>
        <v>-8942851</v>
      </c>
      <c r="K69" s="205" t="s">
        <v>4661</v>
      </c>
      <c r="L69" s="216">
        <v>579930729</v>
      </c>
      <c r="M69" s="82">
        <v>247714729</v>
      </c>
      <c r="N69" s="111">
        <f t="shared" ref="N69:N91" si="2">L69+M69</f>
        <v>827645458</v>
      </c>
      <c r="O69" s="111">
        <f t="shared" ref="O69:O88" si="3">M69-M68</f>
        <v>-2541194</v>
      </c>
      <c r="P69" s="111">
        <f t="shared" ref="P69:P88" si="4">N69-N68</f>
        <v>-11484045</v>
      </c>
      <c r="Q69" s="82">
        <v>0</v>
      </c>
    </row>
    <row r="70" spans="1:17">
      <c r="A70" s="97" t="s">
        <v>5046</v>
      </c>
      <c r="B70" s="93">
        <v>4020000</v>
      </c>
      <c r="C70" s="93">
        <v>4120000</v>
      </c>
      <c r="D70" s="93">
        <v>11400</v>
      </c>
      <c r="E70" s="93">
        <v>11600</v>
      </c>
      <c r="I70" s="5" t="s">
        <v>4672</v>
      </c>
      <c r="J70" s="35">
        <f t="shared" si="1"/>
        <v>45893629</v>
      </c>
      <c r="K70" s="5" t="s">
        <v>4667</v>
      </c>
      <c r="L70" s="217">
        <v>625824358</v>
      </c>
      <c r="M70" s="217">
        <v>243028777</v>
      </c>
      <c r="N70" s="35">
        <f t="shared" si="2"/>
        <v>868853135</v>
      </c>
      <c r="O70" s="35">
        <f t="shared" si="3"/>
        <v>-4685952</v>
      </c>
      <c r="P70" s="35">
        <f>N70-N69-50000000</f>
        <v>-8792323</v>
      </c>
      <c r="Q70" s="82">
        <v>50000000</v>
      </c>
    </row>
    <row r="71" spans="1:17">
      <c r="A71" s="97" t="s">
        <v>5050</v>
      </c>
      <c r="B71" s="93">
        <v>3930000</v>
      </c>
      <c r="C71" s="93">
        <v>4030000</v>
      </c>
      <c r="D71" s="93">
        <v>11100</v>
      </c>
      <c r="E71" s="93">
        <v>11300</v>
      </c>
      <c r="I71" s="205"/>
      <c r="J71" s="111">
        <f t="shared" si="1"/>
        <v>3462014</v>
      </c>
      <c r="K71" s="205" t="s">
        <v>4673</v>
      </c>
      <c r="L71" s="82">
        <v>629286372</v>
      </c>
      <c r="M71" s="82">
        <v>246690884</v>
      </c>
      <c r="N71" s="111">
        <f t="shared" si="2"/>
        <v>875977256</v>
      </c>
      <c r="O71" s="111">
        <f t="shared" si="3"/>
        <v>3662107</v>
      </c>
      <c r="P71" s="111">
        <f t="shared" si="4"/>
        <v>7124121</v>
      </c>
      <c r="Q71" s="82">
        <v>0</v>
      </c>
    </row>
    <row r="72" spans="1:17">
      <c r="A72" s="97" t="s">
        <v>5052</v>
      </c>
      <c r="B72" s="93">
        <v>3950000</v>
      </c>
      <c r="C72" s="93">
        <v>4050000</v>
      </c>
      <c r="D72" s="93">
        <v>11200</v>
      </c>
      <c r="E72" s="93">
        <v>11300</v>
      </c>
      <c r="I72" s="205"/>
      <c r="J72" s="111">
        <f t="shared" si="1"/>
        <v>-2687296</v>
      </c>
      <c r="K72" s="205" t="s">
        <v>4686</v>
      </c>
      <c r="L72" s="82">
        <v>626599076</v>
      </c>
      <c r="M72" s="82">
        <v>244530128</v>
      </c>
      <c r="N72" s="111">
        <f t="shared" si="2"/>
        <v>871129204</v>
      </c>
      <c r="O72" s="111">
        <f t="shared" si="3"/>
        <v>-2160756</v>
      </c>
      <c r="P72" s="111">
        <f t="shared" si="4"/>
        <v>-4848052</v>
      </c>
      <c r="Q72" s="82">
        <v>0</v>
      </c>
    </row>
    <row r="73" spans="1:17">
      <c r="A73" s="97" t="s">
        <v>5053</v>
      </c>
      <c r="B73" s="93">
        <v>3970000</v>
      </c>
      <c r="C73" s="93">
        <v>4070000</v>
      </c>
      <c r="D73" s="93">
        <v>11250</v>
      </c>
      <c r="E73" s="93">
        <v>11400</v>
      </c>
      <c r="I73" s="205"/>
      <c r="J73" s="111">
        <f t="shared" si="1"/>
        <v>-6009466</v>
      </c>
      <c r="K73" s="205" t="s">
        <v>4690</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4691</v>
      </c>
      <c r="L74" s="82">
        <v>619316539</v>
      </c>
      <c r="M74" s="82">
        <v>242985726</v>
      </c>
      <c r="N74" s="111">
        <f t="shared" si="2"/>
        <v>862302265</v>
      </c>
      <c r="O74" s="111">
        <f t="shared" si="3"/>
        <v>18042</v>
      </c>
      <c r="P74" s="111">
        <f t="shared" si="4"/>
        <v>-1255029</v>
      </c>
      <c r="Q74" s="82">
        <v>0</v>
      </c>
    </row>
    <row r="75" spans="1:17">
      <c r="A75" s="97" t="s">
        <v>5055</v>
      </c>
      <c r="B75" s="93">
        <v>4020000</v>
      </c>
      <c r="C75" s="93">
        <v>4120000</v>
      </c>
      <c r="D75" s="93">
        <v>11350</v>
      </c>
      <c r="E75" s="93">
        <v>11500</v>
      </c>
      <c r="I75" s="205"/>
      <c r="J75" s="111">
        <f t="shared" si="1"/>
        <v>112274</v>
      </c>
      <c r="K75" s="205" t="s">
        <v>4698</v>
      </c>
      <c r="L75" s="82">
        <v>619428813</v>
      </c>
      <c r="M75" s="82">
        <v>242060147</v>
      </c>
      <c r="N75" s="111">
        <f t="shared" si="2"/>
        <v>861488960</v>
      </c>
      <c r="O75" s="111">
        <f t="shared" si="3"/>
        <v>-925579</v>
      </c>
      <c r="P75" s="111">
        <f t="shared" si="4"/>
        <v>-813305</v>
      </c>
      <c r="Q75" s="82">
        <v>0</v>
      </c>
    </row>
    <row r="76" spans="1:17">
      <c r="A76" s="97" t="s">
        <v>5058</v>
      </c>
      <c r="B76" s="93">
        <v>4000000</v>
      </c>
      <c r="C76" s="93">
        <v>4100000</v>
      </c>
      <c r="D76" s="93">
        <v>11250</v>
      </c>
      <c r="E76" s="93">
        <v>11400</v>
      </c>
      <c r="G76" t="s">
        <v>25</v>
      </c>
      <c r="I76" s="205"/>
      <c r="J76" s="111">
        <f t="shared" si="1"/>
        <v>6567221</v>
      </c>
      <c r="K76" s="205" t="s">
        <v>4700</v>
      </c>
      <c r="L76" s="82">
        <v>625996034</v>
      </c>
      <c r="M76" s="82">
        <v>242597875</v>
      </c>
      <c r="N76" s="111">
        <f t="shared" si="2"/>
        <v>868593909</v>
      </c>
      <c r="O76" s="111">
        <f t="shared" si="3"/>
        <v>537728</v>
      </c>
      <c r="P76" s="111">
        <f t="shared" si="4"/>
        <v>7104949</v>
      </c>
      <c r="Q76" s="82">
        <v>0</v>
      </c>
    </row>
    <row r="77" spans="1:17">
      <c r="A77" s="97" t="s">
        <v>5098</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4719</v>
      </c>
      <c r="L78" s="82">
        <v>636519641</v>
      </c>
      <c r="M78" s="82">
        <v>248242879</v>
      </c>
      <c r="N78" s="111">
        <f t="shared" si="2"/>
        <v>884762520</v>
      </c>
      <c r="O78" s="111">
        <f t="shared" si="3"/>
        <v>4357917</v>
      </c>
      <c r="P78" s="111">
        <f t="shared" si="4"/>
        <v>10404473</v>
      </c>
      <c r="Q78" s="82">
        <v>0</v>
      </c>
    </row>
    <row r="79" spans="1:17">
      <c r="A79" s="97" t="s">
        <v>5106</v>
      </c>
      <c r="B79" s="93">
        <v>3940000</v>
      </c>
      <c r="C79" s="93">
        <v>4020000</v>
      </c>
      <c r="D79" s="93">
        <v>11250</v>
      </c>
      <c r="E79" s="93">
        <v>11450</v>
      </c>
      <c r="I79" s="205"/>
      <c r="J79" s="111">
        <f t="shared" si="1"/>
        <v>6885870</v>
      </c>
      <c r="K79" s="205" t="s">
        <v>4721</v>
      </c>
      <c r="L79" s="82">
        <v>643405511</v>
      </c>
      <c r="M79" s="82">
        <v>252682386</v>
      </c>
      <c r="N79" s="111">
        <f t="shared" si="2"/>
        <v>896087897</v>
      </c>
      <c r="O79" s="111">
        <f t="shared" si="3"/>
        <v>4439507</v>
      </c>
      <c r="P79" s="111">
        <f t="shared" si="4"/>
        <v>11325377</v>
      </c>
      <c r="Q79" s="82">
        <v>0</v>
      </c>
    </row>
    <row r="80" spans="1:17">
      <c r="A80" s="97" t="s">
        <v>5109</v>
      </c>
      <c r="B80" s="93">
        <v>3940000</v>
      </c>
      <c r="C80" s="93">
        <v>4020000</v>
      </c>
      <c r="D80" s="93">
        <v>11250</v>
      </c>
      <c r="E80" s="93">
        <v>11450</v>
      </c>
      <c r="G80" t="s">
        <v>25</v>
      </c>
      <c r="I80" s="5" t="s">
        <v>4736</v>
      </c>
      <c r="J80" s="35">
        <f t="shared" si="1"/>
        <v>-1984018</v>
      </c>
      <c r="K80" s="5" t="s">
        <v>4723</v>
      </c>
      <c r="L80" s="217">
        <v>641421493</v>
      </c>
      <c r="M80" s="217">
        <v>250864833</v>
      </c>
      <c r="N80" s="35">
        <f t="shared" si="2"/>
        <v>892286326</v>
      </c>
      <c r="O80" s="35">
        <f t="shared" si="3"/>
        <v>-1817553</v>
      </c>
      <c r="P80" s="35">
        <f>N80-N79-2000000</f>
        <v>-5801571</v>
      </c>
      <c r="Q80" s="82">
        <v>2000000</v>
      </c>
    </row>
    <row r="81" spans="1:21">
      <c r="A81" s="97" t="s">
        <v>5110</v>
      </c>
      <c r="B81" s="93">
        <v>3940000</v>
      </c>
      <c r="C81" s="93">
        <v>4020000</v>
      </c>
      <c r="D81" s="93">
        <v>11300</v>
      </c>
      <c r="E81" s="93">
        <v>11450</v>
      </c>
      <c r="I81" s="205"/>
      <c r="J81" s="111">
        <f t="shared" si="1"/>
        <v>6117877</v>
      </c>
      <c r="K81" s="205" t="s">
        <v>4726</v>
      </c>
      <c r="L81" s="82">
        <v>647539370</v>
      </c>
      <c r="M81" s="82">
        <v>254691103</v>
      </c>
      <c r="N81" s="210">
        <f t="shared" si="2"/>
        <v>902230473</v>
      </c>
      <c r="O81" s="111">
        <f t="shared" si="3"/>
        <v>3826270</v>
      </c>
      <c r="P81" s="111">
        <f t="shared" si="4"/>
        <v>9944147</v>
      </c>
      <c r="Q81" s="82">
        <v>0</v>
      </c>
    </row>
    <row r="82" spans="1:21">
      <c r="A82" s="97" t="s">
        <v>5113</v>
      </c>
      <c r="B82" s="93">
        <v>3970000</v>
      </c>
      <c r="C82" s="93">
        <v>4030000</v>
      </c>
      <c r="D82" s="93">
        <v>11300</v>
      </c>
      <c r="E82" s="93">
        <v>11500</v>
      </c>
      <c r="I82" s="219" t="s">
        <v>4735</v>
      </c>
      <c r="J82" s="84">
        <f t="shared" si="1"/>
        <v>8860702</v>
      </c>
      <c r="K82" s="189" t="s">
        <v>4732</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4744</v>
      </c>
      <c r="J83" s="84">
        <f>L83-L82+31412200</f>
        <v>20439704</v>
      </c>
      <c r="K83" s="189" t="s">
        <v>4737</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4745</v>
      </c>
      <c r="J84" s="186">
        <f t="shared" si="1"/>
        <v>21224293</v>
      </c>
      <c r="K84" s="187" t="s">
        <v>4746</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4751</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4762</v>
      </c>
      <c r="J87" s="192">
        <f>L87-L86-20000</f>
        <v>7878257</v>
      </c>
      <c r="K87" s="188" t="s">
        <v>4752</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4764</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4765</v>
      </c>
      <c r="L89" s="82">
        <v>680635139</v>
      </c>
      <c r="M89" s="82">
        <v>313005875</v>
      </c>
      <c r="N89" s="111">
        <f t="shared" si="2"/>
        <v>993641014</v>
      </c>
      <c r="O89" s="111">
        <f>M89-M88</f>
        <v>1182704</v>
      </c>
      <c r="P89" s="111">
        <f>N89-N88</f>
        <v>-10992387</v>
      </c>
      <c r="Q89" s="82">
        <v>0</v>
      </c>
    </row>
    <row r="90" spans="1:21">
      <c r="A90" s="97"/>
      <c r="B90" s="93"/>
      <c r="C90" s="93"/>
      <c r="D90" s="93"/>
      <c r="E90" s="93"/>
      <c r="I90" s="188" t="s">
        <v>4789</v>
      </c>
      <c r="J90" s="192">
        <f>L90-L89-1000000</f>
        <v>3840350</v>
      </c>
      <c r="K90" s="188" t="s">
        <v>4772</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4773</v>
      </c>
      <c r="L91" s="82">
        <v>673347624</v>
      </c>
      <c r="M91" s="82">
        <v>308820785</v>
      </c>
      <c r="N91" s="111">
        <f t="shared" si="2"/>
        <v>982168409</v>
      </c>
      <c r="O91" s="111">
        <f>M91-M90</f>
        <v>-3210175</v>
      </c>
      <c r="P91" s="111">
        <f>N91-N90</f>
        <v>-15338040</v>
      </c>
      <c r="Q91" s="82">
        <v>0</v>
      </c>
    </row>
    <row r="92" spans="1:21">
      <c r="I92" s="205"/>
      <c r="J92" s="111">
        <f t="shared" si="5"/>
        <v>11765514</v>
      </c>
      <c r="K92" s="205" t="s">
        <v>4780</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4781</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4782</v>
      </c>
      <c r="L94" s="82">
        <v>698450869</v>
      </c>
      <c r="M94" s="82">
        <v>316326929</v>
      </c>
      <c r="N94" s="210">
        <f t="shared" si="6"/>
        <v>1014777798</v>
      </c>
      <c r="O94" s="111">
        <f t="shared" si="7"/>
        <v>3826929</v>
      </c>
      <c r="P94" s="111">
        <f t="shared" si="8"/>
        <v>14277798</v>
      </c>
      <c r="Q94" s="82">
        <v>0</v>
      </c>
    </row>
    <row r="95" spans="1:21">
      <c r="I95" s="188" t="s">
        <v>4788</v>
      </c>
      <c r="J95" s="192">
        <f>L95-L94-2520000</f>
        <v>-274657</v>
      </c>
      <c r="K95" s="188" t="s">
        <v>4785</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4790</v>
      </c>
      <c r="L96" s="82">
        <v>704655817</v>
      </c>
      <c r="M96" s="82">
        <v>315439070</v>
      </c>
      <c r="N96" s="210">
        <f t="shared" si="6"/>
        <v>1020094887</v>
      </c>
      <c r="O96" s="111">
        <f t="shared" si="7"/>
        <v>1161552</v>
      </c>
      <c r="P96" s="111">
        <f t="shared" si="8"/>
        <v>5121157</v>
      </c>
      <c r="Q96" s="82">
        <v>0</v>
      </c>
    </row>
    <row r="97" spans="3:20">
      <c r="I97" s="205"/>
      <c r="J97" s="111">
        <f t="shared" si="5"/>
        <v>4588822</v>
      </c>
      <c r="K97" s="205" t="s">
        <v>4791</v>
      </c>
      <c r="L97" s="82">
        <v>709244639</v>
      </c>
      <c r="M97" s="82">
        <v>318439707</v>
      </c>
      <c r="N97" s="210">
        <f t="shared" si="6"/>
        <v>1027684346</v>
      </c>
      <c r="O97" s="111">
        <f t="shared" si="7"/>
        <v>3000637</v>
      </c>
      <c r="P97" s="111">
        <f t="shared" si="8"/>
        <v>7589459</v>
      </c>
      <c r="Q97" s="82">
        <v>0</v>
      </c>
    </row>
    <row r="98" spans="3:20">
      <c r="I98" s="205"/>
      <c r="J98" s="111">
        <f t="shared" si="5"/>
        <v>-11230604</v>
      </c>
      <c r="K98" s="205" t="s">
        <v>4793</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4794</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4796</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4797</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4800</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4799</v>
      </c>
      <c r="L103" s="82">
        <v>716288384</v>
      </c>
      <c r="M103" s="82">
        <v>320388494</v>
      </c>
      <c r="N103" s="111">
        <f t="shared" si="9"/>
        <v>1036676878</v>
      </c>
      <c r="O103" s="111">
        <f t="shared" si="10"/>
        <v>1388494</v>
      </c>
      <c r="P103" s="111">
        <f t="shared" si="11"/>
        <v>1676878</v>
      </c>
      <c r="Q103" s="82">
        <v>0</v>
      </c>
    </row>
    <row r="104" spans="3:20">
      <c r="I104" s="188" t="s">
        <v>4834</v>
      </c>
      <c r="J104" s="192">
        <f>L104-L103-1400000</f>
        <v>-1688384</v>
      </c>
      <c r="K104" s="188" t="s">
        <v>4832</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4833</v>
      </c>
      <c r="L105" s="82">
        <v>724529471</v>
      </c>
      <c r="M105" s="82">
        <v>326836192</v>
      </c>
      <c r="N105" s="210">
        <f t="shared" si="9"/>
        <v>1051365663</v>
      </c>
      <c r="O105" s="111">
        <f t="shared" si="10"/>
        <v>4836192</v>
      </c>
      <c r="P105" s="111">
        <f t="shared" si="11"/>
        <v>13365663</v>
      </c>
      <c r="Q105" s="82">
        <v>0</v>
      </c>
    </row>
    <row r="106" spans="3:20">
      <c r="I106" s="187" t="s">
        <v>4836</v>
      </c>
      <c r="J106" s="186">
        <f>L106-L105-1550000</f>
        <v>16319322</v>
      </c>
      <c r="K106" s="187" t="s">
        <v>4835</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4837</v>
      </c>
      <c r="L107" s="82">
        <v>749984625</v>
      </c>
      <c r="M107" s="82">
        <v>336802679</v>
      </c>
      <c r="N107" s="210">
        <f t="shared" si="9"/>
        <v>1086787304</v>
      </c>
      <c r="O107" s="111">
        <f t="shared" si="10"/>
        <v>3414475</v>
      </c>
      <c r="P107" s="111">
        <f t="shared" si="11"/>
        <v>11000307</v>
      </c>
      <c r="Q107" s="82">
        <v>0</v>
      </c>
    </row>
    <row r="108" spans="3:20">
      <c r="I108" s="187" t="s">
        <v>4840</v>
      </c>
      <c r="J108" s="186">
        <f>L108-L107-250000</f>
        <v>9825827</v>
      </c>
      <c r="K108" s="187" t="s">
        <v>4792</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4841</v>
      </c>
      <c r="L109" s="82">
        <v>764265377</v>
      </c>
      <c r="M109" s="82">
        <v>346850621</v>
      </c>
      <c r="N109" s="210">
        <f t="shared" si="9"/>
        <v>1111115998</v>
      </c>
      <c r="O109" s="111">
        <f t="shared" si="10"/>
        <v>4016059</v>
      </c>
      <c r="P109" s="111">
        <f t="shared" si="11"/>
        <v>8220984</v>
      </c>
      <c r="Q109" s="82">
        <v>0</v>
      </c>
    </row>
    <row r="110" spans="3:20" ht="30">
      <c r="I110" s="226" t="s">
        <v>4847</v>
      </c>
      <c r="J110" s="227">
        <f>L110-L109+48527480</f>
        <v>-4646184</v>
      </c>
      <c r="K110" s="208" t="s">
        <v>4844</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4849</v>
      </c>
      <c r="L111" s="82">
        <v>723218149</v>
      </c>
      <c r="M111" s="82">
        <v>378192152</v>
      </c>
      <c r="N111" s="111">
        <f t="shared" ref="N111:N122" si="12">L111+M111</f>
        <v>1101410301</v>
      </c>
      <c r="O111" s="111">
        <f t="shared" ref="O111:O144" si="13">M111-M110</f>
        <v>12390034</v>
      </c>
      <c r="P111" s="111">
        <f>N111-N110</f>
        <v>24516470</v>
      </c>
      <c r="Q111" s="82">
        <v>0</v>
      </c>
    </row>
    <row r="112" spans="3:20">
      <c r="I112" s="187" t="s">
        <v>4854</v>
      </c>
      <c r="J112" s="186">
        <f t="shared" si="5"/>
        <v>-11559770</v>
      </c>
      <c r="K112" s="187" t="s">
        <v>4850</v>
      </c>
      <c r="L112" s="220">
        <v>711658379</v>
      </c>
      <c r="M112" s="220">
        <v>375825031</v>
      </c>
      <c r="N112" s="186">
        <f t="shared" si="12"/>
        <v>1087483410</v>
      </c>
      <c r="O112" s="186">
        <f>M112-M111-400000</f>
        <v>-2767121</v>
      </c>
      <c r="P112" s="186">
        <f>N112-N111-400000</f>
        <v>-14326891</v>
      </c>
      <c r="Q112" s="82">
        <v>400000</v>
      </c>
      <c r="T112" t="s">
        <v>25</v>
      </c>
    </row>
    <row r="113" spans="9:19">
      <c r="I113" s="205" t="s">
        <v>4856</v>
      </c>
      <c r="J113" s="111">
        <f t="shared" si="5"/>
        <v>-47970668</v>
      </c>
      <c r="K113" s="205" t="s">
        <v>4855</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4857</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4858</v>
      </c>
      <c r="L115" s="82">
        <v>673546379</v>
      </c>
      <c r="M115" s="82">
        <v>385390359</v>
      </c>
      <c r="N115" s="111">
        <f t="shared" si="12"/>
        <v>1058936738</v>
      </c>
      <c r="O115" s="111">
        <f t="shared" si="13"/>
        <v>4912397</v>
      </c>
      <c r="P115" s="111">
        <f>N115-N114</f>
        <v>5263899</v>
      </c>
      <c r="Q115" s="82">
        <v>0</v>
      </c>
    </row>
    <row r="116" spans="9:19">
      <c r="I116" s="187" t="s">
        <v>4861</v>
      </c>
      <c r="J116" s="186">
        <f t="shared" si="5"/>
        <v>-3653734</v>
      </c>
      <c r="K116" s="187" t="s">
        <v>4859</v>
      </c>
      <c r="L116" s="220">
        <v>669892645</v>
      </c>
      <c r="M116" s="220">
        <v>383350206</v>
      </c>
      <c r="N116" s="186">
        <f>L116+M116</f>
        <v>1053242851</v>
      </c>
      <c r="O116" s="186">
        <f>M116-M115-2000000</f>
        <v>-4040153</v>
      </c>
      <c r="P116" s="186">
        <f>N116-N115-2000000</f>
        <v>-7693887</v>
      </c>
      <c r="Q116" s="82">
        <v>2000000</v>
      </c>
    </row>
    <row r="117" spans="9:19">
      <c r="I117" s="187" t="s">
        <v>4863</v>
      </c>
      <c r="J117" s="186">
        <f t="shared" si="5"/>
        <v>-492645</v>
      </c>
      <c r="K117" s="187" t="s">
        <v>4862</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4864</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4865</v>
      </c>
      <c r="L119" s="82">
        <v>685000000</v>
      </c>
      <c r="M119" s="82">
        <v>395000000</v>
      </c>
      <c r="N119" s="111">
        <f t="shared" si="12"/>
        <v>1080000000</v>
      </c>
      <c r="O119" s="111">
        <f t="shared" si="13"/>
        <v>2295548</v>
      </c>
      <c r="P119" s="111">
        <f>N119-N118</f>
        <v>10130487</v>
      </c>
      <c r="Q119" s="82">
        <v>0</v>
      </c>
    </row>
    <row r="120" spans="9:19">
      <c r="I120" s="187" t="s">
        <v>4867</v>
      </c>
      <c r="J120" s="186">
        <f>L120-L119-2100000</f>
        <v>2603523</v>
      </c>
      <c r="K120" s="187" t="s">
        <v>4866</v>
      </c>
      <c r="L120" s="220">
        <v>689703523</v>
      </c>
      <c r="M120" s="220">
        <v>399879880</v>
      </c>
      <c r="N120" s="186">
        <f t="shared" si="12"/>
        <v>1089583403</v>
      </c>
      <c r="O120" s="186">
        <f t="shared" si="13"/>
        <v>4879880</v>
      </c>
      <c r="P120" s="186">
        <f>N120-N119-2100000</f>
        <v>7483403</v>
      </c>
      <c r="Q120" s="82">
        <v>2100000</v>
      </c>
    </row>
    <row r="121" spans="9:19">
      <c r="I121" s="187" t="s">
        <v>4870</v>
      </c>
      <c r="J121" s="186">
        <f>L121-L120-100000</f>
        <v>1223636</v>
      </c>
      <c r="K121" s="187" t="s">
        <v>4869</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4872</v>
      </c>
      <c r="L122" s="82">
        <v>687768941</v>
      </c>
      <c r="M122" s="82">
        <v>400952125</v>
      </c>
      <c r="N122" s="111">
        <f t="shared" si="12"/>
        <v>1088721066</v>
      </c>
      <c r="O122" s="111">
        <f t="shared" si="13"/>
        <v>-968588</v>
      </c>
      <c r="P122" s="111">
        <f>N122-N121</f>
        <v>-4226806</v>
      </c>
      <c r="Q122" s="216">
        <v>0</v>
      </c>
    </row>
    <row r="123" spans="9:19">
      <c r="I123" s="187" t="s">
        <v>4878</v>
      </c>
      <c r="J123" s="186">
        <f>L123-L122-115000</f>
        <v>-1004989</v>
      </c>
      <c r="K123" s="187" t="s">
        <v>4874</v>
      </c>
      <c r="L123" s="220">
        <v>686878952</v>
      </c>
      <c r="M123" s="220">
        <v>402566982</v>
      </c>
      <c r="N123" s="186">
        <f>L123+M123</f>
        <v>1089445934</v>
      </c>
      <c r="O123" s="186">
        <f>M123-M122-115000</f>
        <v>1499857</v>
      </c>
      <c r="P123" s="186">
        <f>N123-N122-230000</f>
        <v>494868</v>
      </c>
      <c r="Q123" s="216">
        <v>230000</v>
      </c>
    </row>
    <row r="124" spans="9:19">
      <c r="I124" s="187" t="s">
        <v>4881</v>
      </c>
      <c r="J124" s="186">
        <f>L124-L123-900000</f>
        <v>16455514</v>
      </c>
      <c r="K124" s="187" t="s">
        <v>4880</v>
      </c>
      <c r="L124" s="220">
        <v>704234466</v>
      </c>
      <c r="M124" s="220">
        <v>413359717</v>
      </c>
      <c r="N124" s="210">
        <f t="shared" ref="N124:N145" si="14">L124+M124</f>
        <v>1117594183</v>
      </c>
      <c r="O124" s="186">
        <f t="shared" si="13"/>
        <v>10792735</v>
      </c>
      <c r="P124" s="186">
        <f>N124-N123-900000</f>
        <v>27248249</v>
      </c>
      <c r="Q124" s="216">
        <v>900000</v>
      </c>
    </row>
    <row r="125" spans="9:19">
      <c r="I125" s="187" t="s">
        <v>4883</v>
      </c>
      <c r="J125" s="186">
        <f>L125-L124-241774</f>
        <v>7847987</v>
      </c>
      <c r="K125" s="187" t="s">
        <v>4882</v>
      </c>
      <c r="L125" s="220">
        <v>712324227</v>
      </c>
      <c r="M125" s="220">
        <v>416450606</v>
      </c>
      <c r="N125" s="210">
        <f>L125+M125</f>
        <v>1128774833</v>
      </c>
      <c r="O125" s="186">
        <f>M125-M124-50000</f>
        <v>3040889</v>
      </c>
      <c r="P125" s="186">
        <f>N125-N124-291774</f>
        <v>10888876</v>
      </c>
      <c r="Q125" s="216">
        <v>291774</v>
      </c>
    </row>
    <row r="126" spans="9:19">
      <c r="I126" s="187" t="s">
        <v>4891</v>
      </c>
      <c r="J126" s="186">
        <f>L126-L125-5701774</f>
        <v>-18426154</v>
      </c>
      <c r="K126" s="187" t="s">
        <v>4890</v>
      </c>
      <c r="L126" s="220">
        <v>699599847</v>
      </c>
      <c r="M126" s="220">
        <v>407446033</v>
      </c>
      <c r="N126" s="186">
        <f t="shared" si="14"/>
        <v>1107045880</v>
      </c>
      <c r="O126" s="186">
        <f>M126-M125-50000</f>
        <v>-9054573</v>
      </c>
      <c r="P126" s="186">
        <f>N126-N125-5751774</f>
        <v>-27480727</v>
      </c>
      <c r="Q126" s="216">
        <v>5751774</v>
      </c>
    </row>
    <row r="127" spans="9:19">
      <c r="I127" s="229" t="s">
        <v>4896</v>
      </c>
      <c r="J127" s="230">
        <f t="shared" si="5"/>
        <v>9831878</v>
      </c>
      <c r="K127" s="229" t="s">
        <v>4892</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4897</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4898</v>
      </c>
      <c r="L129" s="233">
        <v>716306417</v>
      </c>
      <c r="M129" s="233">
        <v>419768145</v>
      </c>
      <c r="N129" s="210">
        <f>L129+M129</f>
        <v>1136074562</v>
      </c>
      <c r="O129" s="115">
        <f>M129-M128</f>
        <v>2907177</v>
      </c>
      <c r="P129" s="115">
        <f>N129-N128</f>
        <v>6569162</v>
      </c>
      <c r="Q129" s="216">
        <v>0</v>
      </c>
    </row>
    <row r="130" spans="9:30">
      <c r="I130" s="187" t="s">
        <v>4902</v>
      </c>
      <c r="J130" s="186">
        <f t="shared" si="5"/>
        <v>-9284823</v>
      </c>
      <c r="K130" s="187" t="s">
        <v>4900</v>
      </c>
      <c r="L130" s="220">
        <v>707021594</v>
      </c>
      <c r="M130" s="220">
        <v>420305454</v>
      </c>
      <c r="N130" s="186">
        <f t="shared" si="14"/>
        <v>1127327048</v>
      </c>
      <c r="O130" s="186">
        <f>M130-M129-6800000</f>
        <v>-6262691</v>
      </c>
      <c r="P130" s="186">
        <f>N130-N129-6800000</f>
        <v>-15547514</v>
      </c>
      <c r="Q130" s="216">
        <v>6800000</v>
      </c>
      <c r="S130" t="s">
        <v>25</v>
      </c>
    </row>
    <row r="131" spans="9:30">
      <c r="I131" s="187" t="s">
        <v>4906</v>
      </c>
      <c r="J131" s="186">
        <f t="shared" si="5"/>
        <v>2112595</v>
      </c>
      <c r="K131" s="187" t="s">
        <v>4903</v>
      </c>
      <c r="L131" s="220">
        <v>709134189</v>
      </c>
      <c r="M131" s="220">
        <v>421097153</v>
      </c>
      <c r="N131" s="186">
        <f t="shared" si="14"/>
        <v>1130231342</v>
      </c>
      <c r="O131" s="186">
        <f>M131-M130-500000</f>
        <v>291699</v>
      </c>
      <c r="P131" s="186">
        <f>N131-N130-500000</f>
        <v>2404294</v>
      </c>
      <c r="Q131" s="216">
        <v>500000</v>
      </c>
      <c r="S131" t="s">
        <v>25</v>
      </c>
    </row>
    <row r="132" spans="9:30">
      <c r="I132" s="229" t="s">
        <v>4909</v>
      </c>
      <c r="J132" s="230">
        <f t="shared" si="5"/>
        <v>1064287</v>
      </c>
      <c r="K132" s="229" t="s">
        <v>4907</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4912</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4913</v>
      </c>
      <c r="L134" s="82">
        <v>744280570</v>
      </c>
      <c r="M134" s="82">
        <v>440002399</v>
      </c>
      <c r="N134" s="210">
        <f t="shared" si="14"/>
        <v>1184282969</v>
      </c>
      <c r="O134" s="111">
        <f t="shared" si="13"/>
        <v>10396274</v>
      </c>
      <c r="P134" s="111">
        <f>N134-N133</f>
        <v>31854556</v>
      </c>
      <c r="Q134" s="216">
        <v>0</v>
      </c>
    </row>
    <row r="135" spans="9:30">
      <c r="I135" s="187" t="s">
        <v>4927</v>
      </c>
      <c r="J135" s="186">
        <f>L135-L134-1130250</f>
        <v>-410820</v>
      </c>
      <c r="K135" s="187" t="s">
        <v>4915</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4918</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4921</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4923</v>
      </c>
      <c r="L138" s="82">
        <v>736327754</v>
      </c>
      <c r="M138" s="82">
        <v>439057094</v>
      </c>
      <c r="N138" s="111">
        <f t="shared" si="14"/>
        <v>1175384848</v>
      </c>
      <c r="O138" s="111">
        <f t="shared" si="13"/>
        <v>5516545</v>
      </c>
      <c r="P138" s="111">
        <f>N138-N137</f>
        <v>9638954</v>
      </c>
      <c r="Q138" s="216">
        <v>0</v>
      </c>
      <c r="X138" s="94"/>
      <c r="Y138" s="94"/>
      <c r="Z138" s="94" t="s">
        <v>4573</v>
      </c>
      <c r="AA138" s="94"/>
    </row>
    <row r="139" spans="9:30">
      <c r="I139" s="187" t="s">
        <v>4926</v>
      </c>
      <c r="J139" s="186">
        <f>L139-L138-206000</f>
        <v>15013287</v>
      </c>
      <c r="K139" s="187" t="s">
        <v>4925</v>
      </c>
      <c r="L139" s="220">
        <v>751547041</v>
      </c>
      <c r="M139" s="220">
        <v>448656068</v>
      </c>
      <c r="N139" s="210">
        <f t="shared" si="14"/>
        <v>1200203109</v>
      </c>
      <c r="O139" s="186">
        <f>M139-M138-206000</f>
        <v>9392974</v>
      </c>
      <c r="P139" s="186">
        <f>N139-N138-412000</f>
        <v>24406261</v>
      </c>
      <c r="Q139" s="216">
        <v>412000</v>
      </c>
      <c r="X139" s="94"/>
      <c r="Y139" s="94"/>
      <c r="Z139" s="94" t="s">
        <v>4574</v>
      </c>
      <c r="AA139" s="202">
        <v>35441</v>
      </c>
      <c r="AD139" t="s">
        <v>25</v>
      </c>
    </row>
    <row r="140" spans="9:30" ht="90">
      <c r="I140" s="229" t="s">
        <v>4931</v>
      </c>
      <c r="J140" s="230">
        <f>L140-L139-50000</f>
        <v>22852739</v>
      </c>
      <c r="K140" s="229" t="s">
        <v>4930</v>
      </c>
      <c r="L140" s="231">
        <v>774449780</v>
      </c>
      <c r="M140" s="231">
        <v>460796198</v>
      </c>
      <c r="N140" s="210">
        <f t="shared" si="14"/>
        <v>1235245978</v>
      </c>
      <c r="O140" s="230">
        <f>M140-M139-50000</f>
        <v>12090130</v>
      </c>
      <c r="P140" s="230">
        <f>N140-N139-100000</f>
        <v>34942869</v>
      </c>
      <c r="Q140" s="216">
        <v>100000</v>
      </c>
      <c r="X140" s="22" t="s">
        <v>4577</v>
      </c>
      <c r="Y140" s="22" t="s">
        <v>4576</v>
      </c>
      <c r="Z140" s="22" t="s">
        <v>4575</v>
      </c>
      <c r="AA140" s="22" t="s">
        <v>4578</v>
      </c>
    </row>
    <row r="141" spans="9:30">
      <c r="I141" s="205"/>
      <c r="J141" s="111">
        <f t="shared" si="5"/>
        <v>13614989</v>
      </c>
      <c r="K141" s="205" t="s">
        <v>4933</v>
      </c>
      <c r="L141" s="82">
        <v>788064769</v>
      </c>
      <c r="M141" s="82">
        <v>470434493</v>
      </c>
      <c r="N141" s="210">
        <f t="shared" si="14"/>
        <v>1258499262</v>
      </c>
      <c r="O141" s="111">
        <f t="shared" si="13"/>
        <v>9638295</v>
      </c>
      <c r="P141" s="111">
        <f>N141-N140</f>
        <v>23253284</v>
      </c>
      <c r="Q141" s="216">
        <v>0</v>
      </c>
    </row>
    <row r="142" spans="9:30">
      <c r="I142" s="187" t="s">
        <v>4936</v>
      </c>
      <c r="J142" s="186">
        <f>L142-L141-105000</f>
        <v>7274368</v>
      </c>
      <c r="K142" s="187" t="s">
        <v>4934</v>
      </c>
      <c r="L142" s="220">
        <v>795444137</v>
      </c>
      <c r="M142" s="220">
        <v>496046411</v>
      </c>
      <c r="N142" s="210">
        <f t="shared" si="14"/>
        <v>1291490548</v>
      </c>
      <c r="O142" s="186">
        <f>M142-M141-20000000</f>
        <v>5611918</v>
      </c>
      <c r="P142" s="186">
        <f>N142-N141-20105000</f>
        <v>12886286</v>
      </c>
      <c r="Q142" s="216">
        <v>20105000</v>
      </c>
    </row>
    <row r="143" spans="9:30">
      <c r="I143" s="242" t="s">
        <v>4942</v>
      </c>
      <c r="J143" s="243">
        <f>L143-L142+21285588</f>
        <v>17942685</v>
      </c>
      <c r="K143" s="242" t="s">
        <v>4938</v>
      </c>
      <c r="L143" s="244">
        <v>792101234</v>
      </c>
      <c r="M143" s="244">
        <v>504721695</v>
      </c>
      <c r="N143" s="210">
        <f t="shared" si="14"/>
        <v>1296822929</v>
      </c>
      <c r="O143" s="243">
        <f t="shared" si="13"/>
        <v>8675284</v>
      </c>
      <c r="P143" s="243">
        <f>N143-N142+21285588</f>
        <v>26617969</v>
      </c>
      <c r="Q143" s="216">
        <v>-21285588</v>
      </c>
    </row>
    <row r="144" spans="9:30">
      <c r="I144" s="242" t="s">
        <v>4943</v>
      </c>
      <c r="J144" s="243">
        <f>L144-L143+5949277</f>
        <v>6616903</v>
      </c>
      <c r="K144" s="242" t="s">
        <v>4939</v>
      </c>
      <c r="L144" s="244">
        <v>792768860</v>
      </c>
      <c r="M144" s="244">
        <v>507955566</v>
      </c>
      <c r="N144" s="210">
        <f t="shared" si="14"/>
        <v>1300724426</v>
      </c>
      <c r="O144" s="243">
        <f t="shared" si="13"/>
        <v>3233871</v>
      </c>
      <c r="P144" s="243">
        <f>N144-N143+5949277</f>
        <v>9850774</v>
      </c>
      <c r="Q144" s="216">
        <v>-5949277</v>
      </c>
    </row>
    <row r="145" spans="9:23" ht="30">
      <c r="I145" s="226" t="s">
        <v>4944</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4946</v>
      </c>
      <c r="J146" s="210">
        <f>L146-L145+15482124</f>
        <v>-6662026</v>
      </c>
      <c r="K146" s="209" t="s">
        <v>4945</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4947</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4948</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4949</v>
      </c>
      <c r="L149" s="82">
        <v>740819252</v>
      </c>
      <c r="M149" s="82">
        <v>470305993</v>
      </c>
      <c r="N149" s="111">
        <f t="shared" si="15"/>
        <v>1211125245</v>
      </c>
      <c r="O149" s="111">
        <f t="shared" si="17"/>
        <v>-1758760</v>
      </c>
      <c r="P149" s="111">
        <f t="shared" si="18"/>
        <v>-3863586</v>
      </c>
      <c r="Q149" s="216">
        <v>0</v>
      </c>
      <c r="V149" t="s">
        <v>25</v>
      </c>
    </row>
    <row r="150" spans="9:23">
      <c r="I150" s="187" t="s">
        <v>4952</v>
      </c>
      <c r="J150" s="186">
        <f t="shared" si="16"/>
        <v>19640187</v>
      </c>
      <c r="K150" s="187" t="s">
        <v>4951</v>
      </c>
      <c r="L150" s="220">
        <v>760459439</v>
      </c>
      <c r="M150" s="220">
        <v>480341526</v>
      </c>
      <c r="N150" s="186">
        <f t="shared" si="15"/>
        <v>1240800965</v>
      </c>
      <c r="O150" s="186">
        <f>M150-M149-2480000</f>
        <v>7555533</v>
      </c>
      <c r="P150" s="186">
        <f>N150-N149-2480000</f>
        <v>27195720</v>
      </c>
      <c r="Q150" s="216">
        <v>2480000</v>
      </c>
    </row>
    <row r="151" spans="9:23">
      <c r="I151" s="205" t="s">
        <v>4955</v>
      </c>
      <c r="J151" s="111">
        <f>L151-L150-10000000</f>
        <v>7047541</v>
      </c>
      <c r="K151" s="205" t="s">
        <v>4954</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4956</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4959</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4960</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4957</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4961</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4962</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4958</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4973</v>
      </c>
      <c r="J160" s="186">
        <f>L160-L159-1000000</f>
        <v>-11757327</v>
      </c>
      <c r="K160" s="187" t="s">
        <v>4972</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4974</v>
      </c>
      <c r="L161" s="82">
        <v>809787758</v>
      </c>
      <c r="M161" s="82">
        <v>508573621</v>
      </c>
      <c r="N161" s="111">
        <f t="shared" si="15"/>
        <v>1318361379</v>
      </c>
      <c r="O161" s="111">
        <f t="shared" si="19"/>
        <v>8266116</v>
      </c>
      <c r="P161" s="111">
        <f t="shared" si="20"/>
        <v>23567917</v>
      </c>
    </row>
    <row r="162" spans="9:18">
      <c r="I162" s="229" t="s">
        <v>4976</v>
      </c>
      <c r="J162" s="230">
        <f>L162-L161-40000</f>
        <v>22492792</v>
      </c>
      <c r="K162" s="229" t="s">
        <v>4975</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4978</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4982</v>
      </c>
      <c r="L164" s="82">
        <v>839851298</v>
      </c>
      <c r="M164" s="82">
        <v>524867809</v>
      </c>
      <c r="N164" s="111">
        <f t="shared" si="15"/>
        <v>1364719107</v>
      </c>
      <c r="O164" s="111">
        <f t="shared" si="19"/>
        <v>-5011363</v>
      </c>
      <c r="P164" s="111">
        <f t="shared" si="20"/>
        <v>-14640971</v>
      </c>
      <c r="Q164" s="216">
        <v>0</v>
      </c>
    </row>
    <row r="165" spans="9:18">
      <c r="I165" s="229" t="s">
        <v>4984</v>
      </c>
      <c r="J165" s="230">
        <f>L165-L164-120000</f>
        <v>-2216696</v>
      </c>
      <c r="K165" s="229" t="s">
        <v>4983</v>
      </c>
      <c r="L165" s="231">
        <v>837754602</v>
      </c>
      <c r="M165" s="231">
        <v>524141818</v>
      </c>
      <c r="N165" s="230">
        <f t="shared" si="15"/>
        <v>1361896420</v>
      </c>
      <c r="O165" s="230">
        <f>M165-M164-200000</f>
        <v>-925991</v>
      </c>
      <c r="P165" s="230">
        <f>N165-N164-320000</f>
        <v>-3142687</v>
      </c>
      <c r="Q165" s="216">
        <v>320000</v>
      </c>
    </row>
    <row r="166" spans="9:18">
      <c r="I166" s="229" t="s">
        <v>4906</v>
      </c>
      <c r="J166" s="230">
        <f t="shared" si="16"/>
        <v>-5830761</v>
      </c>
      <c r="K166" s="229" t="s">
        <v>4987</v>
      </c>
      <c r="L166" s="231">
        <v>831923841</v>
      </c>
      <c r="M166" s="231">
        <v>520741895</v>
      </c>
      <c r="N166" s="230">
        <f t="shared" si="15"/>
        <v>1352665736</v>
      </c>
      <c r="O166" s="230">
        <f>M166-M165-500000</f>
        <v>-3899923</v>
      </c>
      <c r="P166" s="230">
        <f>N166-N165-500000</f>
        <v>-9730684</v>
      </c>
      <c r="Q166" s="216">
        <v>500000</v>
      </c>
    </row>
    <row r="167" spans="9:18">
      <c r="I167" s="229" t="s">
        <v>4906</v>
      </c>
      <c r="J167" s="230">
        <f t="shared" si="16"/>
        <v>-22467551</v>
      </c>
      <c r="K167" s="229" t="s">
        <v>4989</v>
      </c>
      <c r="L167" s="231">
        <v>809456290</v>
      </c>
      <c r="M167" s="231">
        <v>509313372</v>
      </c>
      <c r="N167" s="230">
        <f t="shared" si="15"/>
        <v>1318769662</v>
      </c>
      <c r="O167" s="230">
        <f>M167-M166-500000</f>
        <v>-11928523</v>
      </c>
      <c r="P167" s="230">
        <f>N167-N166-500000</f>
        <v>-34396074</v>
      </c>
      <c r="Q167" s="216">
        <v>500000</v>
      </c>
    </row>
    <row r="168" spans="9:18">
      <c r="I168" s="229" t="s">
        <v>4990</v>
      </c>
      <c r="J168" s="230">
        <f>L168-L167-249000</f>
        <v>-15588738</v>
      </c>
      <c r="K168" s="229" t="s">
        <v>4980</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4991</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4994</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5002</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5003</v>
      </c>
      <c r="L173" s="82">
        <v>802082154</v>
      </c>
      <c r="M173" s="82">
        <v>508611485</v>
      </c>
      <c r="N173" s="111">
        <f t="shared" si="15"/>
        <v>1310693639</v>
      </c>
      <c r="O173" s="111">
        <f t="shared" si="19"/>
        <v>-117320</v>
      </c>
      <c r="P173" s="111">
        <f t="shared" si="20"/>
        <v>-4323075</v>
      </c>
      <c r="Q173" s="216">
        <v>0</v>
      </c>
      <c r="R173" t="s">
        <v>25</v>
      </c>
    </row>
    <row r="174" spans="9:18">
      <c r="I174" s="229" t="s">
        <v>5006</v>
      </c>
      <c r="J174" s="230">
        <f>L174-L173-65000</f>
        <v>5888390</v>
      </c>
      <c r="K174" s="229" t="s">
        <v>5005</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5011</v>
      </c>
      <c r="J176" s="227">
        <f>L176-L175+305807</f>
        <v>8668560</v>
      </c>
      <c r="K176" s="208" t="s">
        <v>5009</v>
      </c>
      <c r="L176" s="228">
        <v>816745622</v>
      </c>
      <c r="M176" s="228">
        <v>516127148</v>
      </c>
      <c r="N176" s="227">
        <f t="shared" si="15"/>
        <v>1332872770</v>
      </c>
      <c r="O176" s="227">
        <f>M176-M175+305807</f>
        <v>3691986</v>
      </c>
      <c r="P176" s="227">
        <f>N176-N175+611614</f>
        <v>12360546</v>
      </c>
      <c r="Q176" s="216">
        <v>-611614</v>
      </c>
    </row>
    <row r="177" spans="9:17">
      <c r="I177" s="150" t="s">
        <v>5012</v>
      </c>
      <c r="J177" s="227">
        <f>L177-L176+63348</f>
        <v>4837676</v>
      </c>
      <c r="K177" s="208" t="s">
        <v>5010</v>
      </c>
      <c r="L177" s="228">
        <v>821519950</v>
      </c>
      <c r="M177" s="228">
        <v>505943649</v>
      </c>
      <c r="N177" s="227">
        <f t="shared" si="15"/>
        <v>1327463599</v>
      </c>
      <c r="O177" s="227">
        <f>M177-M176+13076601</f>
        <v>2893102</v>
      </c>
      <c r="P177" s="227">
        <f>N177-N176+13139949</f>
        <v>7730778</v>
      </c>
      <c r="Q177" s="216">
        <v>-13139949</v>
      </c>
    </row>
    <row r="178" spans="9:17">
      <c r="I178" s="249" t="s">
        <v>5015</v>
      </c>
      <c r="J178" s="250">
        <f>L178-L177-50000</f>
        <v>30757186</v>
      </c>
      <c r="K178" s="249" t="s">
        <v>5014</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4981</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5020</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5023</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5024</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5029</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5030</v>
      </c>
      <c r="L184" s="82">
        <v>904707054</v>
      </c>
      <c r="M184" s="82">
        <v>557394961</v>
      </c>
      <c r="N184" s="111">
        <f t="shared" si="15"/>
        <v>1462102015</v>
      </c>
      <c r="O184" s="111">
        <f t="shared" si="19"/>
        <v>-6711498</v>
      </c>
      <c r="P184" s="111">
        <f t="shared" si="20"/>
        <v>-18369320</v>
      </c>
      <c r="Q184" s="216">
        <v>0</v>
      </c>
    </row>
    <row r="185" spans="9:17">
      <c r="I185" s="187" t="s">
        <v>5033</v>
      </c>
      <c r="J185" s="186">
        <f>L185-L184-200000</f>
        <v>15983884</v>
      </c>
      <c r="K185" s="187" t="s">
        <v>5031</v>
      </c>
      <c r="L185" s="220">
        <v>920890938</v>
      </c>
      <c r="M185" s="220">
        <v>566042468</v>
      </c>
      <c r="N185" s="186">
        <f t="shared" si="15"/>
        <v>1486933406</v>
      </c>
      <c r="O185" s="186">
        <f t="shared" si="19"/>
        <v>8647507</v>
      </c>
      <c r="P185" s="186">
        <f>N185-N184-200000</f>
        <v>24631391</v>
      </c>
      <c r="Q185" s="216">
        <v>200000</v>
      </c>
    </row>
    <row r="186" spans="9:17">
      <c r="I186" s="187" t="s">
        <v>5040</v>
      </c>
      <c r="J186" s="186">
        <f>L186-L185-30000</f>
        <v>1392982</v>
      </c>
      <c r="K186" s="187" t="s">
        <v>5034</v>
      </c>
      <c r="L186" s="220">
        <v>922313920</v>
      </c>
      <c r="M186" s="220">
        <v>567221668</v>
      </c>
      <c r="N186" s="186">
        <f t="shared" si="15"/>
        <v>1489535588</v>
      </c>
      <c r="O186" s="186">
        <f t="shared" si="19"/>
        <v>1179200</v>
      </c>
      <c r="P186" s="186">
        <f>N186-N185-30000</f>
        <v>2572182</v>
      </c>
      <c r="Q186" s="216">
        <v>30000</v>
      </c>
    </row>
    <row r="187" spans="9:17">
      <c r="I187" s="205" t="s">
        <v>5045</v>
      </c>
      <c r="J187" s="111">
        <f t="shared" si="16"/>
        <v>-1865454</v>
      </c>
      <c r="K187" s="205" t="s">
        <v>5044</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5046</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4993</v>
      </c>
      <c r="L189" s="82">
        <v>951067529</v>
      </c>
      <c r="M189" s="82">
        <v>596275041</v>
      </c>
      <c r="N189" s="210">
        <f t="shared" si="15"/>
        <v>1547342570</v>
      </c>
      <c r="O189" s="111">
        <f t="shared" si="19"/>
        <v>8603623</v>
      </c>
      <c r="P189" s="111">
        <f t="shared" si="20"/>
        <v>26700407</v>
      </c>
      <c r="Q189" s="216">
        <v>0</v>
      </c>
    </row>
    <row r="190" spans="9:17" ht="30">
      <c r="I190" s="248" t="s">
        <v>5051</v>
      </c>
      <c r="J190" s="186">
        <f>L190-L189+4000000</f>
        <v>-1393565</v>
      </c>
      <c r="K190" s="187" t="s">
        <v>5050</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5052</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5053</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5055</v>
      </c>
      <c r="L194" s="233">
        <v>901275329</v>
      </c>
      <c r="M194" s="233">
        <v>583098793</v>
      </c>
      <c r="N194" s="115">
        <f>L194+M194</f>
        <v>1484374122</v>
      </c>
      <c r="O194" s="115">
        <f t="shared" si="19"/>
        <v>-3486217</v>
      </c>
      <c r="P194" s="115">
        <f>N194-N193</f>
        <v>-18861608</v>
      </c>
      <c r="Q194" s="216">
        <v>0</v>
      </c>
    </row>
    <row r="195" spans="9:17">
      <c r="I195" s="187" t="s">
        <v>5060</v>
      </c>
      <c r="J195" s="186">
        <f>L195-L194-150000</f>
        <v>17593478</v>
      </c>
      <c r="K195" s="187" t="s">
        <v>5058</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5061</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5062</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5065</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5090</v>
      </c>
      <c r="L199" s="82">
        <v>992076311</v>
      </c>
      <c r="M199" s="82">
        <v>638214788</v>
      </c>
      <c r="N199" s="210">
        <f t="shared" si="15"/>
        <v>1630291099</v>
      </c>
      <c r="O199" s="111">
        <f t="shared" si="19"/>
        <v>470124</v>
      </c>
      <c r="P199" s="111">
        <f t="shared" si="20"/>
        <v>12547575</v>
      </c>
      <c r="Q199" s="216">
        <v>0</v>
      </c>
    </row>
    <row r="200" spans="9:17">
      <c r="I200" s="187" t="s">
        <v>5093</v>
      </c>
      <c r="J200" s="186">
        <f>L200-L199-400000</f>
        <v>-7612896</v>
      </c>
      <c r="K200" s="187" t="s">
        <v>5091</v>
      </c>
      <c r="L200" s="220">
        <v>984863415</v>
      </c>
      <c r="M200" s="220">
        <v>632226484</v>
      </c>
      <c r="N200" s="186">
        <f t="shared" si="15"/>
        <v>1617089899</v>
      </c>
      <c r="O200" s="186">
        <f t="shared" si="19"/>
        <v>-5988304</v>
      </c>
      <c r="P200" s="186">
        <f>N200-N199-400000</f>
        <v>-13601200</v>
      </c>
      <c r="Q200" s="216">
        <v>400000</v>
      </c>
    </row>
    <row r="201" spans="9:17">
      <c r="I201" s="208" t="s">
        <v>5096</v>
      </c>
      <c r="J201" s="227">
        <f>L201-L200+100000</f>
        <v>12509920</v>
      </c>
      <c r="K201" s="208" t="s">
        <v>5094</v>
      </c>
      <c r="L201" s="228">
        <v>997273335</v>
      </c>
      <c r="M201" s="228">
        <v>639479822</v>
      </c>
      <c r="N201" s="210">
        <f t="shared" si="15"/>
        <v>1636753157</v>
      </c>
      <c r="O201" s="227">
        <f t="shared" si="19"/>
        <v>7253338</v>
      </c>
      <c r="P201" s="227">
        <f>N201-N200+100000</f>
        <v>19763258</v>
      </c>
      <c r="Q201" s="216">
        <v>-100000</v>
      </c>
    </row>
    <row r="202" spans="9:17">
      <c r="I202" s="187" t="s">
        <v>5099</v>
      </c>
      <c r="J202" s="186">
        <f>L202-L201-10000000</f>
        <v>-2265988</v>
      </c>
      <c r="K202" s="187" t="s">
        <v>5098</v>
      </c>
      <c r="L202" s="220">
        <v>1005007347</v>
      </c>
      <c r="M202" s="220">
        <v>636084938</v>
      </c>
      <c r="N202" s="186">
        <f t="shared" si="15"/>
        <v>1641092285</v>
      </c>
      <c r="O202" s="186">
        <f t="shared" si="19"/>
        <v>-3394884</v>
      </c>
      <c r="P202" s="186">
        <f>N202-N201-10000000</f>
        <v>-5660872</v>
      </c>
      <c r="Q202" s="216">
        <v>10000000</v>
      </c>
    </row>
    <row r="203" spans="9:17">
      <c r="I203" s="208" t="s">
        <v>5104</v>
      </c>
      <c r="J203" s="227">
        <f>L203-L202+400000</f>
        <v>8061336</v>
      </c>
      <c r="K203" s="208" t="s">
        <v>5103</v>
      </c>
      <c r="L203" s="228">
        <v>1012668683</v>
      </c>
      <c r="M203" s="228">
        <v>641491326</v>
      </c>
      <c r="N203" s="210">
        <f t="shared" si="15"/>
        <v>1654160009</v>
      </c>
      <c r="O203" s="227">
        <f t="shared" si="19"/>
        <v>5406388</v>
      </c>
      <c r="P203" s="227">
        <f>N203-N202+400000</f>
        <v>13467724</v>
      </c>
      <c r="Q203" s="216">
        <v>-400000</v>
      </c>
    </row>
    <row r="204" spans="9:17">
      <c r="I204" s="208" t="s">
        <v>5105</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5106</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5109</v>
      </c>
      <c r="L206" s="82">
        <v>991102717</v>
      </c>
      <c r="M206" s="82">
        <v>623731041</v>
      </c>
      <c r="N206" s="111">
        <f t="shared" si="22"/>
        <v>1614833758</v>
      </c>
      <c r="O206" s="111">
        <f>M206-M205</f>
        <v>-2790917</v>
      </c>
      <c r="P206" s="111">
        <f>N206-N205</f>
        <v>-6391417</v>
      </c>
      <c r="Q206" s="216">
        <v>0</v>
      </c>
    </row>
    <row r="207" spans="9:17">
      <c r="I207" s="187" t="s">
        <v>5112</v>
      </c>
      <c r="J207" s="186">
        <f>L207-L206-1300000</f>
        <v>-17889835</v>
      </c>
      <c r="K207" s="187" t="s">
        <v>5110</v>
      </c>
      <c r="L207" s="220">
        <v>974512882</v>
      </c>
      <c r="M207" s="220">
        <v>611227725</v>
      </c>
      <c r="N207" s="186">
        <f t="shared" si="22"/>
        <v>1585740607</v>
      </c>
      <c r="O207" s="186">
        <f>M207-M206-230000</f>
        <v>-12733316</v>
      </c>
      <c r="P207" s="186">
        <f>N207-N206-1530000</f>
        <v>-30623151</v>
      </c>
      <c r="Q207" s="216">
        <v>1530000</v>
      </c>
    </row>
    <row r="208" spans="9:17">
      <c r="I208" s="208" t="s">
        <v>5114</v>
      </c>
      <c r="J208" s="227">
        <f>L208-L207-230000</f>
        <v>26666770</v>
      </c>
      <c r="K208" s="208" t="s">
        <v>5113</v>
      </c>
      <c r="L208" s="228">
        <v>1001409652</v>
      </c>
      <c r="M208" s="228">
        <v>627313031</v>
      </c>
      <c r="N208" s="227">
        <f t="shared" si="22"/>
        <v>1628722683</v>
      </c>
      <c r="O208" s="227">
        <f>M208-M207+880000</f>
        <v>16965306</v>
      </c>
      <c r="P208" s="227">
        <f>N208-N207</f>
        <v>42982076</v>
      </c>
      <c r="Q208" s="216">
        <v>-650000</v>
      </c>
    </row>
    <row r="209" spans="9:19">
      <c r="I209" s="187" t="s">
        <v>5115</v>
      </c>
      <c r="J209" s="186">
        <f>L209-L208-880000</f>
        <v>38363123</v>
      </c>
      <c r="K209" s="187" t="s">
        <v>5116</v>
      </c>
      <c r="L209" s="220">
        <v>1040652775</v>
      </c>
      <c r="M209" s="220">
        <v>653526288</v>
      </c>
      <c r="N209" s="210">
        <f t="shared" si="22"/>
        <v>1694179063</v>
      </c>
      <c r="O209" s="186">
        <f>M209-M208</f>
        <v>26213257</v>
      </c>
      <c r="P209" s="186">
        <f>N209-N208-880000</f>
        <v>64576380</v>
      </c>
      <c r="Q209" s="216">
        <v>880000</v>
      </c>
    </row>
    <row r="210" spans="9:19">
      <c r="I210" s="208" t="s">
        <v>5118</v>
      </c>
      <c r="J210" s="227">
        <f>L210-L209+900000</f>
        <v>20298534</v>
      </c>
      <c r="K210" s="208" t="s">
        <v>5117</v>
      </c>
      <c r="L210" s="228">
        <v>1060051309</v>
      </c>
      <c r="M210" s="228">
        <v>663872836</v>
      </c>
      <c r="N210" s="210">
        <f t="shared" si="22"/>
        <v>1723924145</v>
      </c>
      <c r="O210" s="227">
        <f>M210-M209-200000</f>
        <v>10146548</v>
      </c>
      <c r="P210" s="227">
        <f>N210-N209+700000</f>
        <v>30445082</v>
      </c>
      <c r="Q210" s="216">
        <v>-700000</v>
      </c>
    </row>
    <row r="211" spans="9:19">
      <c r="I211" s="187" t="s">
        <v>5119</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5120</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5121</v>
      </c>
      <c r="J213" s="111">
        <f>L213-L212+800000</f>
        <v>15351721</v>
      </c>
      <c r="K213" s="205" t="s">
        <v>5122</v>
      </c>
      <c r="L213" s="82">
        <v>1017597520</v>
      </c>
      <c r="M213" s="82">
        <v>638870084</v>
      </c>
      <c r="N213" s="111">
        <f t="shared" si="22"/>
        <v>1656467604</v>
      </c>
      <c r="O213" s="111">
        <f>M213-M212+10000000</f>
        <v>14214313</v>
      </c>
      <c r="P213" s="111">
        <f>N213-N212+10800000</f>
        <v>29566034</v>
      </c>
      <c r="Q213" s="216">
        <v>-10800000</v>
      </c>
    </row>
    <row r="214" spans="9:19">
      <c r="I214" s="208" t="s">
        <v>5128</v>
      </c>
      <c r="J214" s="227">
        <f t="shared" si="21"/>
        <v>-18127600</v>
      </c>
      <c r="K214" s="208" t="s">
        <v>5124</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5129</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5131</v>
      </c>
      <c r="J217" s="227">
        <f>L217-L216-50000</f>
        <v>-3947893</v>
      </c>
      <c r="K217" s="208" t="s">
        <v>5130</v>
      </c>
      <c r="L217" s="228">
        <v>1010326365</v>
      </c>
      <c r="M217" s="228">
        <v>632690003</v>
      </c>
      <c r="N217" s="227">
        <f t="shared" si="23"/>
        <v>1643016368</v>
      </c>
      <c r="O217" s="227">
        <f t="shared" si="24"/>
        <v>-2811879</v>
      </c>
      <c r="P217" s="227">
        <f>N217-N216-50000</f>
        <v>-6759772</v>
      </c>
      <c r="Q217" s="216">
        <v>50000</v>
      </c>
    </row>
    <row r="218" spans="9:19">
      <c r="I218" s="208" t="s">
        <v>5133</v>
      </c>
      <c r="J218" s="227">
        <f>L218-L217-400000</f>
        <v>-7352281</v>
      </c>
      <c r="K218" s="208" t="s">
        <v>5135</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5137</v>
      </c>
      <c r="L219" s="82">
        <v>999517682</v>
      </c>
      <c r="M219" s="82">
        <v>627640361</v>
      </c>
      <c r="N219" s="111">
        <f t="shared" si="23"/>
        <v>1627158043</v>
      </c>
      <c r="O219" s="111">
        <f t="shared" si="24"/>
        <v>-1762209</v>
      </c>
      <c r="P219" s="111">
        <f t="shared" si="25"/>
        <v>-5618611</v>
      </c>
      <c r="Q219" s="216">
        <v>0</v>
      </c>
    </row>
    <row r="220" spans="9:19">
      <c r="I220" s="187" t="s">
        <v>5139</v>
      </c>
      <c r="J220" s="186">
        <f t="shared" si="21"/>
        <v>30762624</v>
      </c>
      <c r="K220" s="187" t="s">
        <v>5138</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5108</v>
      </c>
      <c r="L221" s="82">
        <v>1013932649</v>
      </c>
      <c r="M221" s="82">
        <v>635152182</v>
      </c>
      <c r="N221" s="111">
        <f t="shared" si="23"/>
        <v>1649084831</v>
      </c>
      <c r="O221" s="111">
        <f t="shared" si="24"/>
        <v>-10386048</v>
      </c>
      <c r="P221" s="111">
        <f t="shared" si="25"/>
        <v>-26733705</v>
      </c>
      <c r="Q221" s="216">
        <v>0</v>
      </c>
    </row>
    <row r="222" spans="9:19">
      <c r="I222" s="253" t="s">
        <v>5143</v>
      </c>
      <c r="J222" s="254">
        <f>L222-L221+7000000</f>
        <v>4431891</v>
      </c>
      <c r="K222" s="253" t="s">
        <v>5144</v>
      </c>
      <c r="L222" s="255">
        <v>1011364540</v>
      </c>
      <c r="M222" s="255">
        <v>634014280</v>
      </c>
      <c r="N222" s="254">
        <f t="shared" si="23"/>
        <v>1645378820</v>
      </c>
      <c r="O222" s="254">
        <f t="shared" si="24"/>
        <v>-1137902</v>
      </c>
      <c r="P222" s="254">
        <f>N222-N221+7000000</f>
        <v>3293989</v>
      </c>
      <c r="Q222" s="216">
        <v>-7000000</v>
      </c>
    </row>
    <row r="223" spans="9:19">
      <c r="I223" s="208" t="s">
        <v>5146</v>
      </c>
      <c r="J223" s="227">
        <f t="shared" si="21"/>
        <v>-12364540</v>
      </c>
      <c r="K223" s="208" t="s">
        <v>5145</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5147</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5148</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5149</v>
      </c>
      <c r="L226" s="82">
        <v>995000000</v>
      </c>
      <c r="M226" s="82">
        <v>625000000</v>
      </c>
      <c r="N226" s="111">
        <f t="shared" si="23"/>
        <v>1620000000</v>
      </c>
      <c r="O226" s="111">
        <f t="shared" si="24"/>
        <v>-2621912</v>
      </c>
      <c r="P226" s="111">
        <f t="shared" si="25"/>
        <v>-8262288</v>
      </c>
      <c r="Q226" s="216">
        <v>0</v>
      </c>
    </row>
    <row r="227" spans="9:19">
      <c r="I227" s="187" t="s">
        <v>5150</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5152</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5153</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5154</v>
      </c>
      <c r="L230" s="82">
        <v>981346829</v>
      </c>
      <c r="M230" s="82">
        <v>616768631</v>
      </c>
      <c r="N230" s="111">
        <f>L230+M230</f>
        <v>1598115460</v>
      </c>
      <c r="O230" s="111">
        <f t="shared" si="24"/>
        <v>-231369</v>
      </c>
      <c r="P230" s="111">
        <f t="shared" si="25"/>
        <v>-2584540</v>
      </c>
      <c r="Q230" s="216">
        <v>0</v>
      </c>
    </row>
    <row r="231" spans="9:19">
      <c r="I231" s="187" t="s">
        <v>5156</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5155</v>
      </c>
      <c r="L232" s="82">
        <v>982764273</v>
      </c>
      <c r="M232" s="82">
        <v>618232370</v>
      </c>
      <c r="N232" s="111">
        <f t="shared" si="23"/>
        <v>1600996643</v>
      </c>
      <c r="O232" s="111">
        <f t="shared" si="24"/>
        <v>9817180</v>
      </c>
      <c r="P232" s="111">
        <f t="shared" si="25"/>
        <v>27833689</v>
      </c>
      <c r="Q232" s="216">
        <v>0</v>
      </c>
    </row>
    <row r="233" spans="9:19">
      <c r="I233" s="187" t="s">
        <v>5158</v>
      </c>
      <c r="J233" s="186">
        <f>L233-L232+990760</f>
        <v>270597</v>
      </c>
      <c r="K233" s="187" t="s">
        <v>5157</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5159</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5160</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5163</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5164</v>
      </c>
      <c r="L237" s="82">
        <v>973935836</v>
      </c>
      <c r="M237" s="82">
        <v>612781866</v>
      </c>
      <c r="N237" s="111">
        <f t="shared" si="23"/>
        <v>1586717702</v>
      </c>
      <c r="O237" s="111">
        <f t="shared" si="24"/>
        <v>-4703074</v>
      </c>
      <c r="P237" s="111">
        <f t="shared" si="25"/>
        <v>-14274043</v>
      </c>
      <c r="Q237" s="216">
        <v>0</v>
      </c>
    </row>
    <row r="238" spans="9:19">
      <c r="I238" s="208" t="s">
        <v>5166</v>
      </c>
      <c r="J238" s="227">
        <f>L238-L237-101268</f>
        <v>10034013</v>
      </c>
      <c r="K238" s="208" t="s">
        <v>5165</v>
      </c>
      <c r="L238" s="228">
        <v>984071117</v>
      </c>
      <c r="M238" s="228">
        <v>619527192</v>
      </c>
      <c r="N238" s="227">
        <f t="shared" si="23"/>
        <v>1603598309</v>
      </c>
      <c r="O238" s="227">
        <f t="shared" si="24"/>
        <v>6745326</v>
      </c>
      <c r="P238" s="227">
        <f>N238-N237-101268</f>
        <v>16779339</v>
      </c>
      <c r="Q238" s="216">
        <v>101268</v>
      </c>
    </row>
    <row r="239" spans="9:19">
      <c r="I239" s="256" t="s">
        <v>5167</v>
      </c>
      <c r="J239" s="92">
        <f>L239-L238-101000</f>
        <v>-5512506</v>
      </c>
      <c r="K239" s="256" t="s">
        <v>5168</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5169</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5171</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5173</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5174</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5175</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5178</v>
      </c>
      <c r="L246" s="82">
        <v>998587209</v>
      </c>
      <c r="M246" s="82">
        <v>628989460</v>
      </c>
      <c r="N246" s="111">
        <f t="shared" si="27"/>
        <v>1627576669</v>
      </c>
      <c r="O246" s="111">
        <f t="shared" si="28"/>
        <v>-386804</v>
      </c>
      <c r="P246" s="111">
        <f t="shared" si="28"/>
        <v>-378799</v>
      </c>
      <c r="Q246" s="216">
        <v>0</v>
      </c>
    </row>
    <row r="247" spans="9:19">
      <c r="I247" s="187" t="s">
        <v>5180</v>
      </c>
      <c r="J247" s="186">
        <f t="shared" si="26"/>
        <v>57939414</v>
      </c>
      <c r="K247" s="187" t="s">
        <v>5179</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5181</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5182</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5183</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5184</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4491</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5185</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5186</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5187</v>
      </c>
      <c r="L255" s="82">
        <v>1154946925</v>
      </c>
      <c r="M255" s="82">
        <v>724493233</v>
      </c>
      <c r="N255" s="210">
        <f t="shared" si="31"/>
        <v>1879440158</v>
      </c>
      <c r="O255" s="111">
        <f t="shared" si="32"/>
        <v>3771085</v>
      </c>
      <c r="P255" s="111">
        <f t="shared" si="33"/>
        <v>9561690</v>
      </c>
      <c r="Q255" s="216">
        <v>0</v>
      </c>
    </row>
    <row r="256" spans="9:19">
      <c r="I256" s="205" t="s">
        <v>5188</v>
      </c>
      <c r="J256" s="111">
        <f t="shared" si="30"/>
        <v>40761008</v>
      </c>
      <c r="K256" s="205" t="s">
        <v>5189</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5191</v>
      </c>
      <c r="L257" s="82">
        <v>1204397532</v>
      </c>
      <c r="M257" s="82">
        <v>768290500</v>
      </c>
      <c r="N257" s="210">
        <f t="shared" si="31"/>
        <v>1972688032</v>
      </c>
      <c r="O257" s="111">
        <f t="shared" si="32"/>
        <v>4065339</v>
      </c>
      <c r="P257" s="111">
        <f t="shared" si="33"/>
        <v>12754938</v>
      </c>
      <c r="Q257" s="216">
        <v>0</v>
      </c>
    </row>
    <row r="258" spans="9:19">
      <c r="I258" s="187" t="s">
        <v>5194</v>
      </c>
      <c r="J258" s="186">
        <f>L258-L257+488602</f>
        <v>5275127</v>
      </c>
      <c r="K258" s="187" t="s">
        <v>5192</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5193</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5196</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5201</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5207</v>
      </c>
      <c r="L262" s="82">
        <v>1153433035</v>
      </c>
      <c r="M262" s="82">
        <v>736240181</v>
      </c>
      <c r="N262" s="111">
        <f t="shared" si="31"/>
        <v>1889673216</v>
      </c>
      <c r="O262" s="111">
        <f t="shared" si="32"/>
        <v>-19759819</v>
      </c>
      <c r="P262" s="111">
        <f t="shared" si="33"/>
        <v>-46326784</v>
      </c>
      <c r="Q262" s="216">
        <v>0</v>
      </c>
    </row>
    <row r="263" spans="9:19">
      <c r="I263" s="208" t="s">
        <v>5209</v>
      </c>
      <c r="J263" s="227">
        <f>L263-L262-360000</f>
        <v>-33793035</v>
      </c>
      <c r="K263" s="208" t="s">
        <v>5208</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5210</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5213</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5214</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5215</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5218</v>
      </c>
      <c r="J268" s="186">
        <f>L268-L267+3600000</f>
        <v>6784521</v>
      </c>
      <c r="K268" s="187" t="s">
        <v>5216</v>
      </c>
      <c r="L268" s="220">
        <v>1227517149</v>
      </c>
      <c r="M268" s="220">
        <v>781946723</v>
      </c>
      <c r="N268" s="210">
        <f>L268+M268</f>
        <v>2009463872</v>
      </c>
      <c r="O268" s="186">
        <f t="shared" si="36"/>
        <v>648802</v>
      </c>
      <c r="P268" s="186">
        <f>N268-N267+3600000</f>
        <v>7433323</v>
      </c>
      <c r="Q268" s="216">
        <v>-3600000</v>
      </c>
    </row>
    <row r="269" spans="9:19">
      <c r="I269" s="208" t="s">
        <v>5220</v>
      </c>
      <c r="J269" s="227">
        <f t="shared" si="34"/>
        <v>8668842</v>
      </c>
      <c r="K269" s="208" t="s">
        <v>5217</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5222</v>
      </c>
      <c r="L270" s="82">
        <v>1295586377</v>
      </c>
      <c r="M270" s="82">
        <v>830602955</v>
      </c>
      <c r="N270" s="210">
        <f t="shared" si="35"/>
        <v>2126189332</v>
      </c>
      <c r="O270" s="111">
        <f t="shared" si="36"/>
        <v>39667491</v>
      </c>
      <c r="P270" s="111">
        <f>N270-N269</f>
        <v>99067877</v>
      </c>
      <c r="Q270" s="216">
        <v>0</v>
      </c>
    </row>
    <row r="271" spans="9:19">
      <c r="I271" s="187" t="s">
        <v>5224</v>
      </c>
      <c r="J271" s="186">
        <f>L271-L270+1000000</f>
        <v>21062163</v>
      </c>
      <c r="K271" s="187" t="s">
        <v>5223</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5226</v>
      </c>
      <c r="L272" s="82">
        <v>1290000000</v>
      </c>
      <c r="M272" s="82">
        <v>830000000</v>
      </c>
      <c r="N272" s="111">
        <f t="shared" si="35"/>
        <v>2120000000</v>
      </c>
      <c r="O272" s="111">
        <f t="shared" si="36"/>
        <v>-7889920</v>
      </c>
      <c r="P272" s="111">
        <f>N272-N271</f>
        <v>-33538460</v>
      </c>
    </row>
    <row r="273" spans="4:23">
      <c r="I273" s="205"/>
      <c r="J273" s="111">
        <f t="shared" si="34"/>
        <v>5173477</v>
      </c>
      <c r="K273" s="205" t="s">
        <v>5229</v>
      </c>
      <c r="L273" s="82">
        <v>1295173477</v>
      </c>
      <c r="M273" s="82">
        <v>832119130</v>
      </c>
      <c r="N273" s="111">
        <f t="shared" si="35"/>
        <v>2127292607</v>
      </c>
      <c r="O273" s="111">
        <f t="shared" si="36"/>
        <v>2119130</v>
      </c>
      <c r="P273" s="111">
        <f>N273-N272</f>
        <v>7292607</v>
      </c>
    </row>
    <row r="274" spans="4:23">
      <c r="D274" t="s">
        <v>25</v>
      </c>
      <c r="I274" s="208" t="s">
        <v>5209</v>
      </c>
      <c r="J274" s="227">
        <f>L274-L273-360000</f>
        <v>-3379409</v>
      </c>
      <c r="K274" s="208" t="s">
        <v>5230</v>
      </c>
      <c r="L274" s="228">
        <v>1292154068</v>
      </c>
      <c r="M274" s="228">
        <v>833033746</v>
      </c>
      <c r="N274" s="227">
        <f t="shared" si="35"/>
        <v>2125187814</v>
      </c>
      <c r="O274" s="227">
        <f t="shared" si="36"/>
        <v>914616</v>
      </c>
      <c r="P274" s="227">
        <f>N274-N273-360000</f>
        <v>-2464793</v>
      </c>
      <c r="Q274" s="216">
        <v>360000</v>
      </c>
    </row>
    <row r="275" spans="4:23">
      <c r="I275" s="208" t="s">
        <v>5234</v>
      </c>
      <c r="J275" s="227">
        <f>L275-L274-2000000</f>
        <v>-22946012</v>
      </c>
      <c r="K275" s="208" t="s">
        <v>5233</v>
      </c>
      <c r="L275" s="228">
        <v>1271208056</v>
      </c>
      <c r="M275" s="228">
        <v>825161254</v>
      </c>
      <c r="N275" s="227">
        <f t="shared" si="35"/>
        <v>2096369310</v>
      </c>
      <c r="O275" s="227">
        <f t="shared" si="36"/>
        <v>-7872492</v>
      </c>
      <c r="P275" s="227">
        <f>N275-N274-2000000</f>
        <v>-30818504</v>
      </c>
      <c r="Q275" s="216">
        <v>2000000</v>
      </c>
    </row>
    <row r="276" spans="4:23">
      <c r="I276" s="208" t="s">
        <v>5236</v>
      </c>
      <c r="J276" s="227">
        <f>L276-L275-15300000</f>
        <v>32802006</v>
      </c>
      <c r="K276" s="208" t="s">
        <v>5235</v>
      </c>
      <c r="L276" s="228">
        <v>1319310062</v>
      </c>
      <c r="M276" s="228">
        <v>846171439</v>
      </c>
      <c r="N276" s="227">
        <f t="shared" si="35"/>
        <v>2165481501</v>
      </c>
      <c r="O276" s="227">
        <f>M276-M275-200000</f>
        <v>20810185</v>
      </c>
      <c r="P276" s="227">
        <f>N276-N275-15500000</f>
        <v>53612191</v>
      </c>
      <c r="Q276" s="216">
        <v>15500000</v>
      </c>
    </row>
    <row r="277" spans="4:23">
      <c r="I277" s="208" t="s">
        <v>5239</v>
      </c>
      <c r="J277" s="227">
        <f>L277-L276-3000000</f>
        <v>12429762</v>
      </c>
      <c r="K277" s="208" t="s">
        <v>5238</v>
      </c>
      <c r="L277" s="228">
        <v>1334739824</v>
      </c>
      <c r="M277" s="228">
        <v>848815156</v>
      </c>
      <c r="N277" s="210">
        <f t="shared" si="35"/>
        <v>2183554980</v>
      </c>
      <c r="O277" s="227">
        <f>M277-M276-50000</f>
        <v>2593717</v>
      </c>
      <c r="P277" s="227">
        <f>N277-N276-3050000</f>
        <v>15023479</v>
      </c>
      <c r="Q277" s="216">
        <v>3050000</v>
      </c>
    </row>
    <row r="278" spans="4:23">
      <c r="I278" s="208" t="s">
        <v>5241</v>
      </c>
      <c r="J278" s="227">
        <f>L278-L277-1680000</f>
        <v>-15903030</v>
      </c>
      <c r="K278" s="208" t="s">
        <v>5240</v>
      </c>
      <c r="L278" s="228">
        <v>1320516794</v>
      </c>
      <c r="M278" s="228">
        <v>834312363</v>
      </c>
      <c r="N278" s="227">
        <f t="shared" si="35"/>
        <v>2154829157</v>
      </c>
      <c r="O278" s="227">
        <f>M278-M277-100000</f>
        <v>-14602793</v>
      </c>
      <c r="P278" s="227">
        <f>N278-N277-1600000</f>
        <v>-30325823</v>
      </c>
      <c r="Q278" s="216">
        <v>1780000</v>
      </c>
      <c r="S278" t="s">
        <v>25</v>
      </c>
    </row>
    <row r="279" spans="4:23">
      <c r="I279" s="208" t="s">
        <v>5243</v>
      </c>
      <c r="J279" s="227">
        <f>L279-L278-30000000</f>
        <v>3387493</v>
      </c>
      <c r="K279" s="208" t="s">
        <v>5242</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5248</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5249</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5252</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5255</v>
      </c>
      <c r="L284" s="82">
        <v>1473439379</v>
      </c>
      <c r="M284" s="82">
        <v>906774030</v>
      </c>
      <c r="N284" s="210">
        <f t="shared" si="38"/>
        <v>2380213409</v>
      </c>
      <c r="O284" s="111">
        <f t="shared" si="39"/>
        <v>14380845</v>
      </c>
      <c r="P284" s="111">
        <f t="shared" si="40"/>
        <v>32061881</v>
      </c>
      <c r="Q284" s="216">
        <v>0</v>
      </c>
    </row>
    <row r="285" spans="4:23">
      <c r="I285" s="187" t="s">
        <v>5258</v>
      </c>
      <c r="J285" s="186">
        <f t="shared" si="37"/>
        <v>4331396</v>
      </c>
      <c r="K285" s="187" t="s">
        <v>5256</v>
      </c>
      <c r="L285" s="220">
        <v>1477770775</v>
      </c>
      <c r="M285" s="220">
        <v>915475851</v>
      </c>
      <c r="N285" s="210">
        <f t="shared" si="38"/>
        <v>2393246626</v>
      </c>
      <c r="O285" s="186">
        <f>M285-M284+550000</f>
        <v>9251821</v>
      </c>
      <c r="P285" s="186">
        <f>N285-N284+550000</f>
        <v>13583217</v>
      </c>
      <c r="Q285" s="216">
        <v>-550000</v>
      </c>
    </row>
    <row r="286" spans="4:23">
      <c r="I286" s="187" t="s">
        <v>5262</v>
      </c>
      <c r="J286" s="186">
        <f t="shared" si="37"/>
        <v>39081054</v>
      </c>
      <c r="K286" s="187" t="s">
        <v>5260</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5261</v>
      </c>
      <c r="L287" s="82">
        <v>1560436105</v>
      </c>
      <c r="M287" s="82">
        <v>940791901</v>
      </c>
      <c r="N287" s="210">
        <f t="shared" si="38"/>
        <v>2501228006</v>
      </c>
      <c r="O287" s="111">
        <f t="shared" si="39"/>
        <v>35665189</v>
      </c>
      <c r="P287" s="111">
        <f t="shared" si="40"/>
        <v>79249465</v>
      </c>
      <c r="Q287" s="216">
        <v>0</v>
      </c>
    </row>
    <row r="288" spans="4:23">
      <c r="I288" s="187" t="s">
        <v>5270</v>
      </c>
      <c r="J288" s="186">
        <f t="shared" si="37"/>
        <v>83455296</v>
      </c>
      <c r="K288" s="187" t="s">
        <v>5269</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5272</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5276</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5281</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5290</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5313</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5312</v>
      </c>
      <c r="L294" s="82">
        <v>1775456973</v>
      </c>
      <c r="M294" s="82">
        <v>1056375788</v>
      </c>
      <c r="N294" s="210">
        <f t="shared" si="38"/>
        <v>2831832761</v>
      </c>
      <c r="O294" s="111">
        <f t="shared" si="39"/>
        <v>11375788</v>
      </c>
      <c r="P294" s="111">
        <f t="shared" si="40"/>
        <v>26832761</v>
      </c>
      <c r="Q294" s="216">
        <v>0</v>
      </c>
    </row>
    <row r="295" spans="9:21">
      <c r="I295" s="205" t="s">
        <v>5318</v>
      </c>
      <c r="J295" s="111">
        <f>L295-L294-3000000</f>
        <v>19422686</v>
      </c>
      <c r="K295" s="205" t="s">
        <v>5316</v>
      </c>
      <c r="L295" s="82">
        <v>1797879659</v>
      </c>
      <c r="M295" s="82">
        <v>1054864328</v>
      </c>
      <c r="N295" s="210">
        <f t="shared" si="38"/>
        <v>2852743987</v>
      </c>
      <c r="O295" s="111">
        <f t="shared" si="39"/>
        <v>-1511460</v>
      </c>
      <c r="P295" s="111">
        <f>N295-N294-3000000</f>
        <v>17911226</v>
      </c>
      <c r="Q295" s="216">
        <v>3000000</v>
      </c>
    </row>
    <row r="296" spans="9:21">
      <c r="I296" s="208" t="s">
        <v>5319</v>
      </c>
      <c r="J296" s="227">
        <f>L296-L295-7000000</f>
        <v>-47124934</v>
      </c>
      <c r="K296" s="208" t="s">
        <v>5317</v>
      </c>
      <c r="L296" s="228">
        <v>1757754725</v>
      </c>
      <c r="M296" s="228">
        <v>1037677810</v>
      </c>
      <c r="N296" s="227">
        <f t="shared" si="38"/>
        <v>2795432535</v>
      </c>
      <c r="O296" s="227">
        <f>M296-M295+4190000</f>
        <v>-12996518</v>
      </c>
      <c r="P296" s="227">
        <f>N296-N295+4190000-7000000</f>
        <v>-60121452</v>
      </c>
      <c r="Q296" s="216">
        <v>2810000</v>
      </c>
    </row>
    <row r="297" spans="9:21">
      <c r="I297" s="208" t="s">
        <v>5327</v>
      </c>
      <c r="J297" s="227">
        <f t="shared" si="37"/>
        <v>-53501669</v>
      </c>
      <c r="K297" s="208" t="s">
        <v>5321</v>
      </c>
      <c r="L297" s="228">
        <v>1704253056</v>
      </c>
      <c r="M297" s="228">
        <v>973497834</v>
      </c>
      <c r="N297" s="227">
        <f t="shared" si="38"/>
        <v>2677750890</v>
      </c>
      <c r="O297" s="227">
        <f>M297-M296+26000000</f>
        <v>-38179976</v>
      </c>
      <c r="P297" s="227">
        <f>N297-N296+26000000</f>
        <v>-91681645</v>
      </c>
      <c r="Q297" s="216">
        <v>-26000000</v>
      </c>
    </row>
    <row r="298" spans="9:21">
      <c r="I298" s="208" t="s">
        <v>5329</v>
      </c>
      <c r="J298" s="227">
        <f>L298-L297-8800000</f>
        <v>26691445</v>
      </c>
      <c r="K298" s="208" t="s">
        <v>5325</v>
      </c>
      <c r="L298" s="228">
        <v>1739744501</v>
      </c>
      <c r="M298" s="228">
        <v>914540569</v>
      </c>
      <c r="N298" s="227">
        <f t="shared" si="38"/>
        <v>2654285070</v>
      </c>
      <c r="O298" s="227">
        <f>M298-M297+81800000</f>
        <v>22842735</v>
      </c>
      <c r="P298" s="227">
        <f>N298-N297+73000000</f>
        <v>49534180</v>
      </c>
      <c r="Q298" s="216">
        <v>-73000000</v>
      </c>
    </row>
    <row r="299" spans="9:21">
      <c r="I299" s="208" t="s">
        <v>5332</v>
      </c>
      <c r="J299" s="227">
        <f t="shared" si="37"/>
        <v>32696702</v>
      </c>
      <c r="K299" s="208" t="s">
        <v>5326</v>
      </c>
      <c r="L299" s="228">
        <v>1772441203</v>
      </c>
      <c r="M299" s="228">
        <v>900025831</v>
      </c>
      <c r="N299" s="227">
        <f t="shared" si="38"/>
        <v>2672467034</v>
      </c>
      <c r="O299" s="227">
        <f>M299-M298+34000000</f>
        <v>19485262</v>
      </c>
      <c r="P299" s="227">
        <f>N299-N298+34000000</f>
        <v>52181964</v>
      </c>
      <c r="Q299" s="216">
        <v>-34000000</v>
      </c>
    </row>
    <row r="300" spans="9:21">
      <c r="I300" s="187" t="s">
        <v>5334</v>
      </c>
      <c r="J300" s="186">
        <f>L300-L299-40000000</f>
        <v>74215198</v>
      </c>
      <c r="K300" s="187" t="s">
        <v>5330</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5146</v>
      </c>
      <c r="J301" s="186">
        <f t="shared" si="37"/>
        <v>39912599</v>
      </c>
      <c r="K301" s="187" t="s">
        <v>5331</v>
      </c>
      <c r="L301" s="220">
        <v>1926569000</v>
      </c>
      <c r="M301" s="220">
        <v>959442000</v>
      </c>
      <c r="N301" s="210">
        <f t="shared" si="38"/>
        <v>2886011000</v>
      </c>
      <c r="O301" s="186">
        <f>M301-M300-300000</f>
        <v>21646377</v>
      </c>
      <c r="P301" s="186">
        <f>N301-N300-300000</f>
        <v>61558976</v>
      </c>
      <c r="Q301" s="216">
        <v>300000</v>
      </c>
    </row>
    <row r="302" spans="9:21">
      <c r="I302" s="187" t="s">
        <v>5340</v>
      </c>
      <c r="J302" s="186">
        <f t="shared" si="37"/>
        <v>-55865388</v>
      </c>
      <c r="K302" s="187" t="s">
        <v>5339</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5342</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5344</v>
      </c>
      <c r="L304" s="82">
        <v>1773000000</v>
      </c>
      <c r="M304" s="82">
        <v>879000000</v>
      </c>
      <c r="N304" s="111">
        <f t="shared" si="38"/>
        <v>2652000000</v>
      </c>
      <c r="O304" s="111">
        <f t="shared" si="39"/>
        <v>217170</v>
      </c>
      <c r="P304" s="111">
        <f t="shared" si="40"/>
        <v>-212651</v>
      </c>
      <c r="Q304" s="216">
        <v>0</v>
      </c>
    </row>
    <row r="305" spans="9:17">
      <c r="I305" s="205" t="s">
        <v>5346</v>
      </c>
      <c r="J305" s="111">
        <f>L305-L304-400000</f>
        <v>-400000</v>
      </c>
      <c r="K305" s="205" t="s">
        <v>5345</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5352</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5365</v>
      </c>
      <c r="L307" s="82">
        <v>1627606378</v>
      </c>
      <c r="M307" s="82">
        <v>802901457</v>
      </c>
      <c r="N307" s="111">
        <f t="shared" si="38"/>
        <v>2430507835</v>
      </c>
      <c r="O307" s="111">
        <f t="shared" si="39"/>
        <v>21798585</v>
      </c>
      <c r="P307" s="111">
        <f t="shared" si="40"/>
        <v>63329771</v>
      </c>
      <c r="Q307" s="216">
        <v>0</v>
      </c>
    </row>
    <row r="308" spans="9:17">
      <c r="I308" s="205" t="s">
        <v>5367</v>
      </c>
      <c r="J308" s="111">
        <f>L308-L307+968000</f>
        <v>30858637</v>
      </c>
      <c r="K308" s="205" t="s">
        <v>5366</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5368</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5369</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5371</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5372</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5373</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5374</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5375</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5376</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5377</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5378</v>
      </c>
      <c r="L318" s="82">
        <v>2260584534</v>
      </c>
      <c r="M318" s="82">
        <v>1120314374</v>
      </c>
      <c r="N318" s="210">
        <f t="shared" si="41"/>
        <v>3380898908</v>
      </c>
      <c r="O318" s="111">
        <f t="shared" si="42"/>
        <v>67266920</v>
      </c>
      <c r="P318" s="111">
        <f t="shared" si="43"/>
        <v>208542979</v>
      </c>
      <c r="Q318" s="216">
        <v>0</v>
      </c>
    </row>
    <row r="319" spans="9:17">
      <c r="I319" s="205" t="s">
        <v>5380</v>
      </c>
      <c r="J319" s="111">
        <f>L319-L318-3006000</f>
        <v>32865631</v>
      </c>
      <c r="K319" s="205" t="s">
        <v>5379</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5384</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5385</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5386</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5387</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5388</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5394</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5395</v>
      </c>
      <c r="L326" s="82">
        <v>2819979138</v>
      </c>
      <c r="M326" s="82">
        <v>1401539279</v>
      </c>
      <c r="N326" s="210">
        <f t="shared" si="41"/>
        <v>4221518417</v>
      </c>
      <c r="O326" s="111">
        <f t="shared" si="42"/>
        <v>13084171</v>
      </c>
      <c r="P326" s="111">
        <f t="shared" si="43"/>
        <v>39080100</v>
      </c>
      <c r="Q326" s="216">
        <v>0</v>
      </c>
    </row>
    <row r="327" spans="9:22">
      <c r="I327" s="205" t="s">
        <v>5398</v>
      </c>
      <c r="J327" s="111">
        <f>L327-L326+130382924</f>
        <v>36685298</v>
      </c>
      <c r="K327" s="205" t="s">
        <v>5397</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5396</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5399</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5400</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5404</v>
      </c>
      <c r="J332" s="186">
        <f>L332-L331-125000000</f>
        <v>154015802</v>
      </c>
      <c r="K332" s="187" t="s">
        <v>5278</v>
      </c>
      <c r="L332" s="220">
        <v>3877711355</v>
      </c>
      <c r="M332" s="220">
        <v>1868422520</v>
      </c>
      <c r="N332" s="210">
        <f t="shared" si="44"/>
        <v>5746133875</v>
      </c>
      <c r="O332" s="186">
        <f t="shared" si="45"/>
        <v>77900986</v>
      </c>
      <c r="P332" s="186">
        <f>N332-N331-125000000</f>
        <v>231916788</v>
      </c>
      <c r="Q332" s="216">
        <v>125000000</v>
      </c>
    </row>
    <row r="333" spans="9:22">
      <c r="I333" s="187" t="s">
        <v>5405</v>
      </c>
      <c r="J333" s="186">
        <f>L333-L332-7200000</f>
        <v>-108573535</v>
      </c>
      <c r="K333" s="187" t="s">
        <v>5401</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5408</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5409</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5410</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5412</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5413</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5415</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5416</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5417</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5418</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5419</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5420</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5424</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5436</v>
      </c>
      <c r="L346" s="82">
        <v>3220000000</v>
      </c>
      <c r="M346" s="82">
        <v>1580000000</v>
      </c>
      <c r="N346" s="111">
        <f t="shared" si="44"/>
        <v>4800000000</v>
      </c>
      <c r="O346" s="111">
        <f t="shared" si="45"/>
        <v>16994429</v>
      </c>
      <c r="P346" s="111">
        <f t="shared" si="46"/>
        <v>32497144</v>
      </c>
      <c r="Q346" s="216">
        <v>0</v>
      </c>
    </row>
    <row r="347" spans="9:19">
      <c r="I347" s="187" t="s">
        <v>5451</v>
      </c>
      <c r="J347" s="186">
        <f>L347-L346-50000000</f>
        <v>30000000</v>
      </c>
      <c r="K347" s="187" t="s">
        <v>5437</v>
      </c>
      <c r="L347" s="220">
        <v>3300000000</v>
      </c>
      <c r="M347" s="220">
        <v>1600000000</v>
      </c>
      <c r="N347" s="186">
        <f t="shared" si="44"/>
        <v>4900000000</v>
      </c>
      <c r="O347" s="186">
        <f t="shared" si="45"/>
        <v>20000000</v>
      </c>
      <c r="P347" s="186">
        <f>N347-N346-50000000</f>
        <v>50000000</v>
      </c>
      <c r="Q347" s="216">
        <v>50000000</v>
      </c>
    </row>
    <row r="348" spans="9:19">
      <c r="I348" s="187" t="s">
        <v>5452</v>
      </c>
      <c r="J348" s="186">
        <f t="shared" si="37"/>
        <v>79324490</v>
      </c>
      <c r="K348" s="187" t="s">
        <v>5438</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5455</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5456</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5457</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5459</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5460</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5461</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5462</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5463</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5464</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5465</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5466</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5467</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5470</v>
      </c>
      <c r="L361" s="82">
        <v>4730000000</v>
      </c>
      <c r="M361" s="82">
        <v>2276000000</v>
      </c>
      <c r="N361" s="270">
        <f t="shared" si="44"/>
        <v>7006000000</v>
      </c>
      <c r="O361" s="111">
        <f t="shared" si="45"/>
        <v>9599335.7503376007</v>
      </c>
      <c r="P361" s="111">
        <f t="shared" si="46"/>
        <v>37003184.750337601</v>
      </c>
      <c r="Q361" s="216">
        <v>0</v>
      </c>
    </row>
    <row r="362" spans="9:21">
      <c r="I362" s="208" t="s">
        <v>5472</v>
      </c>
      <c r="J362" s="227">
        <f>L362-L361+58196600</f>
        <v>79816926</v>
      </c>
      <c r="K362" s="208" t="s">
        <v>5471</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5473</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5475</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5477</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5478</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5481</v>
      </c>
      <c r="L367" s="82">
        <v>5620000000</v>
      </c>
      <c r="M367" s="82">
        <v>2670000000</v>
      </c>
      <c r="N367" s="111">
        <f t="shared" si="44"/>
        <v>8290000000</v>
      </c>
      <c r="O367" s="111">
        <f t="shared" si="47"/>
        <v>-19938073</v>
      </c>
      <c r="P367" s="111">
        <f t="shared" si="48"/>
        <v>-63769642</v>
      </c>
      <c r="S367" t="s">
        <v>25</v>
      </c>
    </row>
    <row r="368" spans="9:21">
      <c r="I368" s="187" t="s">
        <v>5483</v>
      </c>
      <c r="J368" s="186">
        <f t="shared" si="37"/>
        <v>-39749235</v>
      </c>
      <c r="K368" s="187" t="s">
        <v>5482</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5487</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5488</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5489</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5490</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5491</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5492</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5495</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5496</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5508</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5514</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5515</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5521</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5525</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5526</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5530</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5535</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5537</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5538</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5539</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5540</v>
      </c>
      <c r="L389" s="82">
        <v>6126666000</v>
      </c>
      <c r="M389" s="82">
        <v>3341157354</v>
      </c>
      <c r="N389" s="111">
        <f t="shared" si="44"/>
        <v>9467823354</v>
      </c>
      <c r="O389" s="111">
        <f t="shared" si="49"/>
        <v>26757796</v>
      </c>
      <c r="P389" s="111">
        <f t="shared" si="50"/>
        <v>-44095692</v>
      </c>
      <c r="Q389" s="216">
        <v>0</v>
      </c>
    </row>
    <row r="390" spans="9:21">
      <c r="I390" s="256" t="s">
        <v>5546</v>
      </c>
      <c r="J390" s="92">
        <f>L390-L389+98469400</f>
        <v>113425690</v>
      </c>
      <c r="K390" s="256" t="s">
        <v>5529</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5527</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5547</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5548</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5549</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5551</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5552</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5553</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5528</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5556</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5557</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5559</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5560</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5562</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5564</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5567</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5569</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5570</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5571</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5574</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5576</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5579</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5580</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5581</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5584</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5585</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5586</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5591</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5592</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5594</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5596</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5597</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5598</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5610</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5611</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5613</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5617</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5619</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5622</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5626</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5628</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5632</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5634</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5636</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5637</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5639</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5640</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5642</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5644</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5646</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5648</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5649</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5650</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5659</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5661</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5662</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5673</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5672</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5671</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5665</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5668</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5669</v>
      </c>
      <c r="L453" s="82">
        <v>4500000000</v>
      </c>
      <c r="M453" s="82">
        <v>2500000000</v>
      </c>
      <c r="N453" s="111">
        <f t="shared" si="52"/>
        <v>7000000000</v>
      </c>
      <c r="O453" s="111">
        <f t="shared" si="55"/>
        <v>-100000000</v>
      </c>
      <c r="P453" s="111">
        <f t="shared" si="56"/>
        <v>-200000000</v>
      </c>
      <c r="Q453" s="216">
        <v>0</v>
      </c>
    </row>
    <row r="454" spans="9:21">
      <c r="I454" s="187" t="s">
        <v>5675</v>
      </c>
      <c r="J454" s="186">
        <f>L454-L453-260000000</f>
        <v>-241879353</v>
      </c>
      <c r="K454" s="187" t="s">
        <v>5670</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5674</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5676</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5677</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5678</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5679</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5682</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5683</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5684</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5685</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5686</v>
      </c>
      <c r="L464" s="82">
        <v>5684600946</v>
      </c>
      <c r="M464" s="82">
        <v>3223570500</v>
      </c>
      <c r="N464" s="111">
        <f t="shared" si="57"/>
        <v>8908171446</v>
      </c>
      <c r="O464" s="111">
        <f t="shared" si="58"/>
        <v>146480670</v>
      </c>
      <c r="P464" s="111">
        <f t="shared" si="59"/>
        <v>445129043</v>
      </c>
      <c r="Q464" s="216">
        <v>0</v>
      </c>
    </row>
    <row r="465" spans="9:19">
      <c r="I465" s="187" t="s">
        <v>5689</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5692</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5693</v>
      </c>
      <c r="L467" s="82">
        <v>6143888625</v>
      </c>
      <c r="M467" s="82">
        <v>3526728170</v>
      </c>
      <c r="N467" s="111">
        <f t="shared" si="57"/>
        <v>9670616795</v>
      </c>
      <c r="O467" s="111">
        <f t="shared" si="58"/>
        <v>62523077</v>
      </c>
      <c r="P467" s="111">
        <f t="shared" si="59"/>
        <v>145542848</v>
      </c>
      <c r="Q467" s="216">
        <v>0</v>
      </c>
    </row>
    <row r="468" spans="9:19">
      <c r="I468" s="205" t="s">
        <v>5696</v>
      </c>
      <c r="J468" s="111">
        <f>L468-L467-20000</f>
        <v>-31443260</v>
      </c>
      <c r="K468" s="205" t="s">
        <v>5695</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5698</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5699</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5700</v>
      </c>
      <c r="L471" s="82">
        <v>6013616539</v>
      </c>
      <c r="M471" s="82">
        <v>3413915060</v>
      </c>
      <c r="N471" s="111">
        <f t="shared" si="57"/>
        <v>9427531599</v>
      </c>
      <c r="O471" s="111">
        <f t="shared" si="58"/>
        <v>-132100286</v>
      </c>
      <c r="P471" s="111">
        <f t="shared" si="59"/>
        <v>-358771555</v>
      </c>
      <c r="Q471" s="216">
        <v>0</v>
      </c>
      <c r="R471" t="s">
        <v>25</v>
      </c>
    </row>
    <row r="472" spans="9:19">
      <c r="I472" s="205" t="s">
        <v>5702</v>
      </c>
      <c r="J472" s="111">
        <f>L472-L471-70000</f>
        <v>-63686539</v>
      </c>
      <c r="K472" s="205" t="s">
        <v>5701</v>
      </c>
      <c r="L472" s="82">
        <v>5950000000</v>
      </c>
      <c r="M472" s="82">
        <v>3380000000</v>
      </c>
      <c r="N472" s="111">
        <f t="shared" si="57"/>
        <v>9330000000</v>
      </c>
      <c r="O472" s="111">
        <f>M472-M471-70000</f>
        <v>-33985060</v>
      </c>
      <c r="P472" s="111">
        <f>N472-N471-140000</f>
        <v>-97671599</v>
      </c>
      <c r="Q472" s="216">
        <v>140000</v>
      </c>
    </row>
    <row r="473" spans="9:19">
      <c r="I473" s="205" t="s">
        <v>5708</v>
      </c>
      <c r="J473" s="111">
        <f>L473-L472-330000</f>
        <v>-62693116</v>
      </c>
      <c r="K473" s="205" t="s">
        <v>5707</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5710</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5717</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4511</v>
      </c>
      <c r="B73" s="111">
        <v>100000</v>
      </c>
      <c r="C73" s="97" t="s">
        <v>3873</v>
      </c>
      <c r="D73" s="97">
        <v>50</v>
      </c>
      <c r="E73" s="97">
        <f t="shared" si="3"/>
        <v>52</v>
      </c>
      <c r="F73" s="97">
        <f t="shared" si="1"/>
        <v>1</v>
      </c>
      <c r="G73" s="97">
        <f t="shared" si="2"/>
        <v>5100000</v>
      </c>
    </row>
    <row r="74" spans="1:9">
      <c r="A74" s="97" t="s">
        <v>4639</v>
      </c>
      <c r="B74" s="111">
        <v>-38130</v>
      </c>
      <c r="C74" s="97" t="s">
        <v>1022</v>
      </c>
      <c r="D74" s="97">
        <v>1</v>
      </c>
      <c r="E74" s="97">
        <f t="shared" si="3"/>
        <v>2</v>
      </c>
      <c r="F74" s="97">
        <f t="shared" si="1"/>
        <v>0</v>
      </c>
      <c r="G74" s="97">
        <f t="shared" si="2"/>
        <v>-76260</v>
      </c>
      <c r="I74" t="s">
        <v>25</v>
      </c>
    </row>
    <row r="75" spans="1:9">
      <c r="A75" s="97" t="s">
        <v>4642</v>
      </c>
      <c r="B75" s="111">
        <v>-20000</v>
      </c>
      <c r="C75" s="97" t="s">
        <v>4646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5287</v>
      </c>
      <c r="B1">
        <v>0.24</v>
      </c>
    </row>
    <row r="4" spans="1:21">
      <c r="A4" s="97" t="s">
        <v>3623</v>
      </c>
      <c r="B4" s="97" t="s">
        <v>180</v>
      </c>
      <c r="C4" s="97" t="s">
        <v>5291</v>
      </c>
      <c r="D4" s="97" t="s">
        <v>5292</v>
      </c>
      <c r="E4" s="97" t="s">
        <v>5299</v>
      </c>
      <c r="F4" s="97" t="s">
        <v>5293</v>
      </c>
      <c r="G4" s="97" t="s">
        <v>5294</v>
      </c>
      <c r="H4" s="97" t="s">
        <v>5295</v>
      </c>
      <c r="I4" s="97" t="s">
        <v>5296</v>
      </c>
      <c r="J4" s="97" t="s">
        <v>5297</v>
      </c>
      <c r="K4" s="97" t="s">
        <v>5298</v>
      </c>
      <c r="L4" s="97" t="s">
        <v>5286</v>
      </c>
      <c r="M4" s="97" t="s">
        <v>5288</v>
      </c>
      <c r="N4" s="97" t="s">
        <v>5289</v>
      </c>
      <c r="O4" s="97"/>
    </row>
    <row r="5" spans="1:21">
      <c r="A5" s="97">
        <v>0</v>
      </c>
      <c r="B5" s="97" t="s">
        <v>5285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4479</v>
      </c>
      <c r="B52" s="262" t="s">
        <v>5300</v>
      </c>
      <c r="C52" s="262" t="s">
        <v>5301</v>
      </c>
      <c r="D52" s="262" t="s">
        <v>5302</v>
      </c>
      <c r="E52" s="262" t="s">
        <v>4245</v>
      </c>
      <c r="F52" s="262" t="s">
        <v>5303</v>
      </c>
      <c r="G52" s="262" t="s">
        <v>5304</v>
      </c>
      <c r="H52" s="262" t="s">
        <v>5305</v>
      </c>
      <c r="I52" s="262" t="s">
        <v>5306</v>
      </c>
      <c r="J52" s="262" t="s">
        <v>5307</v>
      </c>
      <c r="K52" s="262" t="s">
        <v>5308</v>
      </c>
      <c r="L52" s="262" t="s">
        <v>5309</v>
      </c>
      <c r="M52" s="262" t="s">
        <v>5310</v>
      </c>
      <c r="N52" s="262" t="s">
        <v>5311</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5273</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5268</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5259</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4827</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5250</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5282</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4479</v>
      </c>
      <c r="B64" s="262" t="s">
        <v>5300</v>
      </c>
      <c r="C64" s="262" t="s">
        <v>5301</v>
      </c>
      <c r="D64" s="262" t="s">
        <v>5302</v>
      </c>
      <c r="E64" s="262" t="s">
        <v>4245</v>
      </c>
      <c r="F64" s="262" t="s">
        <v>5303</v>
      </c>
      <c r="G64" s="262" t="s">
        <v>5304</v>
      </c>
      <c r="H64" s="262" t="s">
        <v>5305</v>
      </c>
      <c r="I64" s="262" t="s">
        <v>5306</v>
      </c>
      <c r="J64" s="262" t="s">
        <v>5307</v>
      </c>
      <c r="K64" s="262" t="s">
        <v>5308</v>
      </c>
      <c r="L64" s="262" t="s">
        <v>5309</v>
      </c>
      <c r="M64" s="262" t="s">
        <v>5310</v>
      </c>
      <c r="N64" s="262" t="s">
        <v>5311</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5273</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5259</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5250</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5282</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4479</v>
      </c>
      <c r="Z2" s="97" t="s">
        <v>4531</v>
      </c>
      <c r="AA2" s="97" t="s">
        <v>4529</v>
      </c>
      <c r="AB2" s="97" t="s">
        <v>4530</v>
      </c>
      <c r="AC2" s="97" t="s">
        <v>4533</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4535</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4532</v>
      </c>
      <c r="Z4" s="97">
        <v>1</v>
      </c>
      <c r="AA4" s="97">
        <v>1</v>
      </c>
      <c r="AB4" s="97">
        <f>AA4/Z4</f>
        <v>1</v>
      </c>
      <c r="AC4" s="97" t="s">
        <v>4534</v>
      </c>
      <c r="AD4" s="97"/>
      <c r="AE4" s="97"/>
      <c r="AF4" s="97"/>
      <c r="AG4" s="97"/>
      <c r="AH4" s="97"/>
    </row>
    <row r="5" spans="1:34">
      <c r="A5" s="97">
        <v>4</v>
      </c>
      <c r="B5" s="97"/>
      <c r="C5" s="167">
        <v>102</v>
      </c>
      <c r="D5" s="97">
        <v>20000</v>
      </c>
      <c r="E5" s="97">
        <f t="shared" si="0"/>
        <v>980000</v>
      </c>
      <c r="F5" s="167">
        <f t="shared" si="1"/>
        <v>-2030004</v>
      </c>
      <c r="G5" s="167">
        <f t="shared" si="2"/>
        <v>9996</v>
      </c>
      <c r="Y5" s="97" t="s">
        <v>4519</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4511</v>
      </c>
      <c r="B43" s="111">
        <v>100000</v>
      </c>
      <c r="C43" s="97" t="s">
        <v>3873</v>
      </c>
      <c r="D43" s="97">
        <v>58</v>
      </c>
      <c r="E43" s="97">
        <f>E44+D43</f>
        <v>105</v>
      </c>
      <c r="F43" s="97">
        <f t="shared" si="0"/>
        <v>1</v>
      </c>
      <c r="G43" s="97">
        <f t="shared" si="2"/>
        <v>10400000</v>
      </c>
    </row>
    <row r="44" spans="1:14">
      <c r="A44" s="97" t="s">
        <v>4667</v>
      </c>
      <c r="B44" s="111">
        <v>-31000</v>
      </c>
      <c r="C44" s="97" t="s">
        <v>4674</v>
      </c>
      <c r="D44" s="97">
        <v>19</v>
      </c>
      <c r="E44" s="97">
        <f t="shared" ref="E44:E50" si="5">E45+D44</f>
        <v>47</v>
      </c>
      <c r="F44" s="97">
        <f t="shared" ref="F44:F50" si="6">IF(B44&gt;0,1,0)</f>
        <v>0</v>
      </c>
      <c r="G44" s="97">
        <f t="shared" ref="G44:G50" si="7">B44*(E44-F44)</f>
        <v>-1457000</v>
      </c>
    </row>
    <row r="45" spans="1:14">
      <c r="A45" s="97" t="s">
        <v>4737</v>
      </c>
      <c r="B45" s="111">
        <v>2060725</v>
      </c>
      <c r="C45" s="97" t="s">
        <v>4740</v>
      </c>
      <c r="D45" s="97">
        <v>6</v>
      </c>
      <c r="E45" s="97">
        <f t="shared" si="5"/>
        <v>28</v>
      </c>
      <c r="F45" s="97">
        <f t="shared" si="6"/>
        <v>1</v>
      </c>
      <c r="G45" s="97">
        <f t="shared" si="7"/>
        <v>55639575</v>
      </c>
    </row>
    <row r="46" spans="1:14">
      <c r="A46" s="97" t="s">
        <v>4760</v>
      </c>
      <c r="B46" s="111">
        <v>-1073169</v>
      </c>
      <c r="C46" s="97" t="s">
        <v>4761</v>
      </c>
      <c r="D46" s="97">
        <v>4</v>
      </c>
      <c r="E46" s="97">
        <f t="shared" si="5"/>
        <v>22</v>
      </c>
      <c r="F46" s="97">
        <f t="shared" si="6"/>
        <v>0</v>
      </c>
      <c r="G46" s="97">
        <f t="shared" si="7"/>
        <v>-23609718</v>
      </c>
    </row>
    <row r="47" spans="1:14">
      <c r="A47" s="97" t="s">
        <v>4752</v>
      </c>
      <c r="B47" s="111">
        <v>-178820</v>
      </c>
      <c r="C47" s="97" t="s">
        <v>3996</v>
      </c>
      <c r="D47" s="97">
        <v>0</v>
      </c>
      <c r="E47" s="97">
        <f t="shared" si="5"/>
        <v>18</v>
      </c>
      <c r="F47" s="97">
        <f t="shared" si="6"/>
        <v>0</v>
      </c>
      <c r="G47" s="97">
        <f t="shared" si="7"/>
        <v>-3218760</v>
      </c>
      <c r="L47" t="s">
        <v>25</v>
      </c>
    </row>
    <row r="48" spans="1:14">
      <c r="A48" s="97" t="s">
        <v>4752</v>
      </c>
      <c r="B48" s="111">
        <v>-25000</v>
      </c>
      <c r="C48" s="97" t="s">
        <v>743</v>
      </c>
      <c r="D48" s="97">
        <v>4</v>
      </c>
      <c r="E48" s="97">
        <f t="shared" si="5"/>
        <v>18</v>
      </c>
      <c r="F48" s="97">
        <f t="shared" si="6"/>
        <v>0</v>
      </c>
      <c r="G48" s="97">
        <f t="shared" si="7"/>
        <v>-450000</v>
      </c>
      <c r="L48" t="s">
        <v>25</v>
      </c>
    </row>
    <row r="49" spans="1:13">
      <c r="A49" s="97" t="s">
        <v>4765</v>
      </c>
      <c r="B49" s="111">
        <v>-49500</v>
      </c>
      <c r="C49" s="97" t="s">
        <v>452</v>
      </c>
      <c r="D49" s="97">
        <v>2</v>
      </c>
      <c r="E49" s="97">
        <f t="shared" si="5"/>
        <v>14</v>
      </c>
      <c r="F49" s="97">
        <f t="shared" si="6"/>
        <v>0</v>
      </c>
      <c r="G49" s="97">
        <f t="shared" si="7"/>
        <v>-693000</v>
      </c>
    </row>
    <row r="50" spans="1:13">
      <c r="A50" s="97" t="s">
        <v>4768</v>
      </c>
      <c r="B50" s="111">
        <v>-4500</v>
      </c>
      <c r="C50" s="97" t="s">
        <v>452</v>
      </c>
      <c r="D50" s="97">
        <v>1</v>
      </c>
      <c r="E50" s="97">
        <f t="shared" si="5"/>
        <v>12</v>
      </c>
      <c r="F50" s="97">
        <f t="shared" si="6"/>
        <v>0</v>
      </c>
      <c r="G50" s="97">
        <f t="shared" si="7"/>
        <v>-54000</v>
      </c>
    </row>
    <row r="51" spans="1:13">
      <c r="A51" s="97" t="s">
        <v>4769</v>
      </c>
      <c r="B51" s="111">
        <v>-328000</v>
      </c>
      <c r="C51" s="97" t="s">
        <v>452</v>
      </c>
      <c r="D51" s="97">
        <v>4</v>
      </c>
      <c r="E51" s="97">
        <f t="shared" ref="E51:E61" si="8">E52+D51</f>
        <v>11</v>
      </c>
      <c r="F51" s="97">
        <f t="shared" ref="F51:F61" si="9">IF(B51&gt;0,1,0)</f>
        <v>0</v>
      </c>
      <c r="G51" s="97">
        <f t="shared" ref="G51:G61" si="10">B51*(E51-F51)</f>
        <v>-3608000</v>
      </c>
    </row>
    <row r="52" spans="1:13">
      <c r="A52" s="97" t="s">
        <v>4773</v>
      </c>
      <c r="B52" s="111">
        <v>-195330</v>
      </c>
      <c r="C52" s="97" t="s">
        <v>4778</v>
      </c>
      <c r="D52" s="97">
        <v>1</v>
      </c>
      <c r="E52" s="97">
        <f t="shared" si="8"/>
        <v>7</v>
      </c>
      <c r="F52" s="97">
        <f t="shared" si="9"/>
        <v>0</v>
      </c>
      <c r="G52" s="97">
        <f t="shared" si="10"/>
        <v>-1367310</v>
      </c>
    </row>
    <row r="53" spans="1:13">
      <c r="A53" s="97" t="s">
        <v>4780</v>
      </c>
      <c r="B53" s="111">
        <v>-140730</v>
      </c>
      <c r="C53" s="97" t="s">
        <v>4783</v>
      </c>
      <c r="D53" s="97">
        <v>1</v>
      </c>
      <c r="E53" s="97">
        <f t="shared" si="8"/>
        <v>6</v>
      </c>
      <c r="F53" s="97">
        <f t="shared" si="9"/>
        <v>0</v>
      </c>
      <c r="G53" s="97">
        <f t="shared" si="10"/>
        <v>-844380</v>
      </c>
    </row>
    <row r="54" spans="1:13">
      <c r="A54" s="97" t="s">
        <v>4781</v>
      </c>
      <c r="B54" s="111">
        <v>-4200</v>
      </c>
      <c r="C54" s="97" t="s">
        <v>1053</v>
      </c>
      <c r="D54" s="97">
        <v>0</v>
      </c>
      <c r="E54" s="97">
        <f t="shared" si="8"/>
        <v>5</v>
      </c>
      <c r="F54" s="97">
        <f t="shared" si="9"/>
        <v>0</v>
      </c>
      <c r="G54" s="97">
        <f t="shared" si="10"/>
        <v>-21000</v>
      </c>
    </row>
    <row r="55" spans="1:13">
      <c r="A55" s="97" t="s">
        <v>4781</v>
      </c>
      <c r="B55" s="111">
        <v>-66567</v>
      </c>
      <c r="C55" s="97" t="s">
        <v>3996</v>
      </c>
      <c r="D55" s="97">
        <v>4</v>
      </c>
      <c r="E55" s="97">
        <f t="shared" si="8"/>
        <v>5</v>
      </c>
      <c r="F55" s="97">
        <f t="shared" si="9"/>
        <v>0</v>
      </c>
      <c r="G55" s="97">
        <f t="shared" si="10"/>
        <v>-332835</v>
      </c>
    </row>
    <row r="56" spans="1:13">
      <c r="A56" s="97" t="s">
        <v>4785</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4479</v>
      </c>
      <c r="B1" t="s">
        <v>933</v>
      </c>
      <c r="C1" t="s">
        <v>4531</v>
      </c>
      <c r="D1" t="s">
        <v>4803</v>
      </c>
      <c r="E1" t="s">
        <v>4804</v>
      </c>
      <c r="F1" t="s">
        <v>8</v>
      </c>
    </row>
    <row r="2" spans="1:6">
      <c r="A2" t="s">
        <v>4807</v>
      </c>
      <c r="B2">
        <v>237</v>
      </c>
      <c r="C2">
        <v>281</v>
      </c>
      <c r="D2">
        <f>B2/C2</f>
        <v>0.84341637010676151</v>
      </c>
      <c r="E2" t="s">
        <v>4808</v>
      </c>
      <c r="F2" t="s">
        <v>4809</v>
      </c>
    </row>
    <row r="3" spans="1:6">
      <c r="A3" t="s">
        <v>4477</v>
      </c>
      <c r="B3">
        <v>134</v>
      </c>
      <c r="C3">
        <v>193</v>
      </c>
      <c r="D3" s="94">
        <f t="shared" ref="D3:D21" si="0">B3/C3</f>
        <v>0.69430051813471505</v>
      </c>
      <c r="E3" t="s">
        <v>4808</v>
      </c>
      <c r="F3" s="94" t="s">
        <v>4809</v>
      </c>
    </row>
    <row r="4" spans="1:6">
      <c r="A4" t="s">
        <v>4810</v>
      </c>
      <c r="B4">
        <v>195</v>
      </c>
      <c r="C4">
        <v>73</v>
      </c>
      <c r="D4" s="94">
        <f t="shared" si="0"/>
        <v>2.6712328767123288</v>
      </c>
      <c r="E4" t="s">
        <v>4811</v>
      </c>
      <c r="F4" t="s">
        <v>4812</v>
      </c>
    </row>
    <row r="5" spans="1:6">
      <c r="A5" t="s">
        <v>4813</v>
      </c>
      <c r="B5">
        <v>1</v>
      </c>
      <c r="C5">
        <v>1</v>
      </c>
      <c r="D5" s="94">
        <f t="shared" si="0"/>
        <v>1</v>
      </c>
      <c r="E5" t="s">
        <v>4811</v>
      </c>
      <c r="F5" t="s">
        <v>4814</v>
      </c>
    </row>
    <row r="6" spans="1:6">
      <c r="A6" t="s">
        <v>4516</v>
      </c>
      <c r="B6">
        <v>163</v>
      </c>
      <c r="C6">
        <v>232</v>
      </c>
      <c r="D6" s="94">
        <f t="shared" si="0"/>
        <v>0.70258620689655171</v>
      </c>
      <c r="F6" s="94" t="s">
        <v>4809</v>
      </c>
    </row>
    <row r="7" spans="1:6">
      <c r="A7" t="s">
        <v>4815</v>
      </c>
      <c r="B7">
        <v>247</v>
      </c>
      <c r="C7">
        <v>250</v>
      </c>
      <c r="D7" s="94">
        <f t="shared" si="0"/>
        <v>0.98799999999999999</v>
      </c>
    </row>
    <row r="8" spans="1:6">
      <c r="A8" t="s">
        <v>4816</v>
      </c>
      <c r="B8">
        <v>335</v>
      </c>
      <c r="C8">
        <v>141</v>
      </c>
      <c r="D8" s="94">
        <f t="shared" si="0"/>
        <v>2.375886524822695</v>
      </c>
      <c r="F8" s="94" t="s">
        <v>4814</v>
      </c>
    </row>
    <row r="9" spans="1:6">
      <c r="A9" t="s">
        <v>4708</v>
      </c>
      <c r="B9">
        <v>150</v>
      </c>
      <c r="C9">
        <v>240</v>
      </c>
      <c r="D9" s="94">
        <f t="shared" si="0"/>
        <v>0.625</v>
      </c>
      <c r="F9" t="s">
        <v>4817</v>
      </c>
    </row>
    <row r="10" spans="1:6">
      <c r="A10" t="s">
        <v>4818</v>
      </c>
      <c r="B10">
        <v>187</v>
      </c>
      <c r="C10">
        <v>208</v>
      </c>
      <c r="D10" s="94">
        <f t="shared" si="0"/>
        <v>0.89903846153846156</v>
      </c>
      <c r="F10" t="s">
        <v>4808</v>
      </c>
    </row>
    <row r="11" spans="1:6">
      <c r="A11" t="s">
        <v>4819</v>
      </c>
      <c r="B11">
        <v>412</v>
      </c>
      <c r="C11">
        <v>183</v>
      </c>
      <c r="D11" s="94">
        <f t="shared" si="0"/>
        <v>2.2513661202185791</v>
      </c>
      <c r="F11" s="94" t="s">
        <v>4814</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4802</v>
      </c>
      <c r="B21">
        <v>113</v>
      </c>
      <c r="C21">
        <v>215</v>
      </c>
      <c r="D21" s="94">
        <f t="shared" si="0"/>
        <v>0.52558139534883719</v>
      </c>
      <c r="E21" t="s">
        <v>4805</v>
      </c>
      <c r="F21" t="s">
        <v>4806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D7" sqref="D7"/>
    </sheetView>
  </sheetViews>
  <sheetFormatPr defaultRowHeight="15"/>
  <cols>
    <col min="1" max="1" width="29.42578125" customWidth="1"/>
    <col min="2" max="2" width="18.28515625" bestFit="1" customWidth="1"/>
    <col min="3" max="3" width="23.85546875" bestFit="1" customWidth="1"/>
    <col min="4" max="4" width="18.5703125" bestFit="1" customWidth="1"/>
    <col min="5" max="5" width="13.28515625" bestFit="1" customWidth="1"/>
    <col min="6" max="6" width="27.5703125" bestFit="1" customWidth="1"/>
    <col min="7" max="7" width="42.28515625" bestFit="1" customWidth="1"/>
    <col min="8" max="9" width="22.85546875" bestFit="1" customWidth="1"/>
    <col min="10" max="10" width="12" bestFit="1" customWidth="1"/>
    <col min="11" max="11" width="9" bestFit="1" customWidth="1"/>
    <col min="12" max="12" width="13.7109375" bestFit="1" customWidth="1"/>
    <col min="13" max="13" width="14.42578125" bestFit="1" customWidth="1"/>
    <col min="14" max="14" width="23" bestFit="1" customWidth="1"/>
  </cols>
  <sheetData>
    <row r="1" spans="1:8">
      <c r="A1" s="32"/>
      <c r="B1" s="32" t="s">
        <v>6872</v>
      </c>
      <c r="C1" s="32" t="s">
        <v>6873</v>
      </c>
      <c r="D1" s="32" t="s">
        <v>6874</v>
      </c>
      <c r="E1" s="423" t="s">
        <v>4245</v>
      </c>
    </row>
    <row r="2" spans="1:8">
      <c r="A2" s="32" t="s">
        <v>4823</v>
      </c>
      <c r="B2" s="322">
        <v>25.67</v>
      </c>
      <c r="C2" s="322">
        <v>25.2</v>
      </c>
      <c r="D2" s="322">
        <v>37.799999999999997</v>
      </c>
      <c r="E2" s="322">
        <v>280</v>
      </c>
      <c r="G2">
        <f>E2/D2</f>
        <v>7.4074074074074083</v>
      </c>
      <c r="H2">
        <f>(E2-D2)/50</f>
        <v>4.8439999999999994</v>
      </c>
    </row>
    <row r="3" spans="1:8">
      <c r="A3" s="32" t="s">
        <v>4827</v>
      </c>
      <c r="B3" s="322">
        <v>2100</v>
      </c>
      <c r="C3" s="322">
        <v>1350</v>
      </c>
      <c r="D3" s="322">
        <v>3600</v>
      </c>
      <c r="E3" s="322">
        <v>16501</v>
      </c>
    </row>
    <row r="4" spans="1:8">
      <c r="A4" s="32" t="s">
        <v>4828</v>
      </c>
      <c r="B4" s="322">
        <v>608.1</v>
      </c>
      <c r="C4" s="322">
        <v>122</v>
      </c>
      <c r="D4" s="322">
        <v>750</v>
      </c>
      <c r="E4" s="322">
        <v>6934</v>
      </c>
    </row>
    <row r="5" spans="1:8">
      <c r="A5" s="32" t="s">
        <v>5480</v>
      </c>
      <c r="B5" s="322">
        <v>352</v>
      </c>
      <c r="C5" s="322">
        <v>110</v>
      </c>
      <c r="D5" s="322">
        <v>1113</v>
      </c>
      <c r="E5" s="322">
        <v>6480</v>
      </c>
    </row>
    <row r="6" spans="1:8">
      <c r="A6" s="32" t="s">
        <v>4358</v>
      </c>
      <c r="B6" s="322">
        <v>2412</v>
      </c>
      <c r="C6" s="322">
        <v>2300</v>
      </c>
      <c r="D6" s="322">
        <v>1267</v>
      </c>
      <c r="E6" s="322">
        <v>19935</v>
      </c>
    </row>
    <row r="7" spans="1:8">
      <c r="A7" s="32" t="s">
        <v>4829</v>
      </c>
      <c r="B7" s="322">
        <v>803</v>
      </c>
      <c r="C7" s="322">
        <v>590</v>
      </c>
      <c r="D7" s="322">
        <v>2000</v>
      </c>
      <c r="E7" s="322">
        <v>11830</v>
      </c>
    </row>
    <row r="8" spans="1:8">
      <c r="A8" s="32" t="s">
        <v>4371</v>
      </c>
      <c r="B8" s="322">
        <v>424</v>
      </c>
      <c r="C8" s="322">
        <v>370</v>
      </c>
      <c r="D8" s="322">
        <v>800</v>
      </c>
      <c r="E8" s="322">
        <v>4545</v>
      </c>
    </row>
    <row r="9" spans="1:8">
      <c r="A9" s="32"/>
      <c r="B9" s="322"/>
      <c r="C9" s="322"/>
      <c r="D9" s="322"/>
      <c r="E9" s="322"/>
    </row>
    <row r="10" spans="1:8">
      <c r="A10" s="32"/>
      <c r="B10" s="322"/>
      <c r="C10" s="322"/>
      <c r="D10" s="322"/>
      <c r="E10" s="322"/>
    </row>
    <row r="11" spans="1:8">
      <c r="A11" s="32"/>
      <c r="B11" s="322"/>
      <c r="C11" s="322"/>
      <c r="D11" s="322"/>
      <c r="E11" s="322"/>
    </row>
    <row r="12" spans="1:8">
      <c r="A12" s="32"/>
      <c r="B12" s="322"/>
      <c r="C12" s="322"/>
      <c r="D12" s="322"/>
      <c r="E12" s="322"/>
    </row>
    <row r="13" spans="1:8">
      <c r="A13" s="32" t="s">
        <v>6361</v>
      </c>
      <c r="B13" s="322">
        <v>100</v>
      </c>
      <c r="C13" s="322">
        <v>82</v>
      </c>
      <c r="D13" s="322">
        <v>140</v>
      </c>
      <c r="E13" s="322">
        <v>823</v>
      </c>
    </row>
    <row r="14" spans="1:8">
      <c r="A14" s="32" t="s">
        <v>6363</v>
      </c>
      <c r="B14" s="322">
        <v>556</v>
      </c>
      <c r="C14" s="322">
        <v>417.5</v>
      </c>
      <c r="D14" s="322">
        <v>600</v>
      </c>
      <c r="E14" s="322">
        <v>4245</v>
      </c>
    </row>
    <row r="15" spans="1:8">
      <c r="A15" s="32" t="s">
        <v>6362</v>
      </c>
      <c r="B15" s="322">
        <v>2017</v>
      </c>
      <c r="C15" s="322">
        <v>1413</v>
      </c>
      <c r="D15" s="322">
        <v>2243</v>
      </c>
      <c r="E15" s="322">
        <v>14455</v>
      </c>
    </row>
    <row r="16" spans="1:8">
      <c r="A16" s="32"/>
      <c r="B16" s="322"/>
      <c r="C16" s="322"/>
      <c r="D16" s="322"/>
      <c r="E16" s="322"/>
    </row>
    <row r="17" spans="1:7">
      <c r="A17" s="32"/>
      <c r="B17" s="322"/>
      <c r="C17" s="322"/>
      <c r="D17" s="322"/>
      <c r="E17" s="322"/>
    </row>
    <row r="18" spans="1:7">
      <c r="A18" s="32" t="s">
        <v>5786</v>
      </c>
      <c r="B18" s="322">
        <v>173</v>
      </c>
      <c r="C18" s="322">
        <v>170</v>
      </c>
      <c r="D18" s="322">
        <v>440</v>
      </c>
      <c r="E18" s="322">
        <v>4695</v>
      </c>
    </row>
    <row r="19" spans="1:7">
      <c r="A19" s="32" t="s">
        <v>6258</v>
      </c>
      <c r="B19" s="322">
        <v>95</v>
      </c>
      <c r="C19" s="322">
        <v>65</v>
      </c>
      <c r="D19" s="322">
        <v>175</v>
      </c>
      <c r="E19" s="322">
        <v>1298</v>
      </c>
    </row>
    <row r="20" spans="1:7">
      <c r="A20" s="32" t="s">
        <v>5785</v>
      </c>
      <c r="B20" s="322">
        <v>144</v>
      </c>
      <c r="C20" s="322">
        <v>100</v>
      </c>
      <c r="D20" s="322">
        <v>210</v>
      </c>
      <c r="E20" s="322">
        <v>1569</v>
      </c>
    </row>
    <row r="21" spans="1:7">
      <c r="A21" s="32" t="s">
        <v>4508</v>
      </c>
      <c r="B21" s="322">
        <v>65</v>
      </c>
      <c r="C21" s="322">
        <v>14</v>
      </c>
      <c r="D21" s="322">
        <v>140</v>
      </c>
      <c r="E21" s="322">
        <v>712</v>
      </c>
    </row>
    <row r="22" spans="1:7">
      <c r="A22" s="32" t="s">
        <v>6738</v>
      </c>
      <c r="B22" s="322">
        <v>130.6</v>
      </c>
      <c r="C22" s="322">
        <v>40</v>
      </c>
      <c r="D22" s="322">
        <v>280</v>
      </c>
      <c r="E22" s="322">
        <v>1142</v>
      </c>
      <c r="G22" t="s">
        <v>25</v>
      </c>
    </row>
    <row r="23" spans="1:7">
      <c r="A23" s="32" t="s">
        <v>5792</v>
      </c>
      <c r="B23" s="322">
        <v>223</v>
      </c>
      <c r="C23" s="322">
        <v>80</v>
      </c>
      <c r="D23" s="322">
        <v>300</v>
      </c>
      <c r="E23" s="322"/>
    </row>
    <row r="24" spans="1:7">
      <c r="A24" s="32" t="s">
        <v>6876</v>
      </c>
      <c r="B24" s="322">
        <v>109</v>
      </c>
      <c r="C24" s="322">
        <v>47</v>
      </c>
      <c r="D24" s="322">
        <v>104.7</v>
      </c>
      <c r="E24" s="322">
        <v>839</v>
      </c>
    </row>
    <row r="25" spans="1:7">
      <c r="A25" s="32" t="s">
        <v>6882</v>
      </c>
      <c r="B25" s="322">
        <v>825</v>
      </c>
      <c r="C25" s="322">
        <v>750</v>
      </c>
      <c r="D25" s="322">
        <v>1000</v>
      </c>
      <c r="E25" s="322">
        <v>7250</v>
      </c>
      <c r="G25" t="s">
        <v>25</v>
      </c>
    </row>
    <row r="26" spans="1:7">
      <c r="A26" s="32" t="s">
        <v>6212</v>
      </c>
      <c r="B26" s="322">
        <v>2959</v>
      </c>
      <c r="C26" s="322">
        <v>2400</v>
      </c>
      <c r="D26" s="322">
        <v>3500</v>
      </c>
      <c r="E26" s="322">
        <v>18000</v>
      </c>
    </row>
    <row r="27" spans="1:7">
      <c r="A27" s="32" t="s">
        <v>6211</v>
      </c>
      <c r="B27" s="322">
        <v>125</v>
      </c>
      <c r="C27" s="322">
        <v>100</v>
      </c>
      <c r="D27" s="322">
        <v>220</v>
      </c>
      <c r="E27" s="322">
        <v>1100</v>
      </c>
    </row>
    <row r="28" spans="1:7">
      <c r="A28" s="32" t="s">
        <v>5834</v>
      </c>
      <c r="B28" s="322">
        <v>391</v>
      </c>
      <c r="C28" s="322">
        <v>353</v>
      </c>
      <c r="D28" s="322">
        <v>600</v>
      </c>
      <c r="E28" s="322">
        <v>2900</v>
      </c>
    </row>
    <row r="29" spans="1:7">
      <c r="A29" s="32" t="s">
        <v>6879</v>
      </c>
      <c r="B29" s="322">
        <v>178</v>
      </c>
      <c r="C29" s="322">
        <v>146</v>
      </c>
      <c r="D29" s="322">
        <v>370</v>
      </c>
      <c r="E29" s="322">
        <v>2300</v>
      </c>
    </row>
    <row r="30" spans="1:7">
      <c r="A30" s="32" t="s">
        <v>4216</v>
      </c>
      <c r="B30" s="322">
        <v>224</v>
      </c>
      <c r="C30" s="322">
        <v>193</v>
      </c>
      <c r="D30" s="322">
        <v>340</v>
      </c>
      <c r="E30" s="322">
        <v>1328</v>
      </c>
    </row>
    <row r="31" spans="1:7">
      <c r="A31" s="32" t="s">
        <v>6894</v>
      </c>
      <c r="B31" s="322">
        <v>79.5</v>
      </c>
      <c r="C31" s="322">
        <v>55.7</v>
      </c>
      <c r="D31" s="322">
        <v>140</v>
      </c>
      <c r="E31" s="322">
        <v>1435</v>
      </c>
      <c r="G31" t="s">
        <v>25</v>
      </c>
    </row>
    <row r="32" spans="1:7">
      <c r="A32" s="32" t="s">
        <v>4519</v>
      </c>
      <c r="B32" s="322">
        <v>50</v>
      </c>
      <c r="C32" s="322">
        <v>50</v>
      </c>
      <c r="D32" s="322">
        <v>140</v>
      </c>
      <c r="E32" s="322"/>
      <c r="G32" t="s">
        <v>25</v>
      </c>
    </row>
    <row r="33" spans="1:7">
      <c r="A33" s="32" t="s">
        <v>5936</v>
      </c>
      <c r="B33" s="322">
        <v>578</v>
      </c>
      <c r="C33" s="322">
        <v>300</v>
      </c>
      <c r="D33" s="322">
        <v>800</v>
      </c>
      <c r="E33" s="322"/>
      <c r="G33" t="s">
        <v>25</v>
      </c>
    </row>
    <row r="34" spans="1:7">
      <c r="A34" s="32"/>
      <c r="B34" s="322"/>
      <c r="C34" s="322"/>
      <c r="D34" s="322"/>
      <c r="E34" s="322"/>
    </row>
    <row r="35" spans="1:7">
      <c r="A35" s="32" t="s">
        <v>6260</v>
      </c>
      <c r="B35" s="322">
        <v>66</v>
      </c>
      <c r="C35" s="322">
        <v>6.6</v>
      </c>
      <c r="D35" s="322">
        <v>80</v>
      </c>
      <c r="E35" s="322"/>
    </row>
    <row r="36" spans="1:7">
      <c r="A36" s="32" t="s">
        <v>6259</v>
      </c>
      <c r="B36" s="322">
        <v>58</v>
      </c>
      <c r="C36" s="322">
        <v>15</v>
      </c>
      <c r="D36" s="322">
        <v>60</v>
      </c>
      <c r="E36" s="322"/>
    </row>
    <row r="37" spans="1:7">
      <c r="A37" s="32"/>
      <c r="B37" s="322"/>
      <c r="C37" s="322"/>
      <c r="D37" s="322"/>
      <c r="E37" s="322"/>
    </row>
    <row r="38" spans="1:7">
      <c r="A38" s="32" t="s">
        <v>6217</v>
      </c>
      <c r="B38" s="322">
        <v>110</v>
      </c>
      <c r="C38" s="322"/>
      <c r="D38" s="322"/>
      <c r="E38" s="322"/>
    </row>
    <row r="39" spans="1:7">
      <c r="A39" s="32" t="s">
        <v>6220</v>
      </c>
      <c r="B39" s="322">
        <v>30</v>
      </c>
      <c r="C39" s="322"/>
      <c r="D39" s="322"/>
      <c r="E39" s="322"/>
    </row>
    <row r="40" spans="1:7">
      <c r="A40" s="32" t="s">
        <v>6221</v>
      </c>
      <c r="B40" s="322">
        <v>100</v>
      </c>
      <c r="C40" s="322"/>
      <c r="D40" s="322"/>
      <c r="E40" s="322"/>
    </row>
    <row r="41" spans="1:7">
      <c r="A41" s="32" t="s">
        <v>6222</v>
      </c>
      <c r="B41" s="322">
        <v>180</v>
      </c>
      <c r="C41" s="322"/>
      <c r="D41" s="322"/>
      <c r="E41" s="322"/>
    </row>
    <row r="42" spans="1:7">
      <c r="A42" s="32" t="s">
        <v>6223</v>
      </c>
      <c r="B42" s="322">
        <v>100</v>
      </c>
      <c r="C42" s="322"/>
      <c r="D42" s="322"/>
      <c r="E42" s="322"/>
    </row>
    <row r="43" spans="1:7">
      <c r="A43" s="32" t="s">
        <v>6224</v>
      </c>
      <c r="B43" s="322">
        <v>347</v>
      </c>
      <c r="C43" s="322"/>
      <c r="D43" s="322"/>
      <c r="E43" s="322"/>
    </row>
    <row r="44" spans="1:7">
      <c r="A44" s="32" t="s">
        <v>6261</v>
      </c>
      <c r="B44" s="322">
        <v>219.8</v>
      </c>
      <c r="C44" s="322">
        <v>237</v>
      </c>
      <c r="D44" s="322">
        <v>280</v>
      </c>
      <c r="E44" s="322"/>
    </row>
    <row r="45" spans="1:7">
      <c r="A45" s="32"/>
      <c r="B45" s="322"/>
      <c r="C45" s="322"/>
      <c r="D45" s="322"/>
      <c r="E45" s="322"/>
    </row>
    <row r="46" spans="1:7">
      <c r="A46" s="32" t="s">
        <v>6226</v>
      </c>
      <c r="B46" s="322">
        <v>141</v>
      </c>
      <c r="C46" s="322">
        <v>125</v>
      </c>
      <c r="D46" s="322">
        <v>160</v>
      </c>
      <c r="E46" s="322">
        <v>1244</v>
      </c>
    </row>
    <row r="47" spans="1:7">
      <c r="A47" s="32"/>
      <c r="B47" s="322"/>
      <c r="C47" s="322"/>
      <c r="D47" s="322"/>
      <c r="E47" s="322"/>
    </row>
    <row r="48" spans="1:7">
      <c r="A48" s="32" t="s">
        <v>6227</v>
      </c>
      <c r="B48" s="322">
        <v>80000000000</v>
      </c>
      <c r="C48" s="322">
        <v>70000000000</v>
      </c>
      <c r="D48" s="322">
        <v>100000000000</v>
      </c>
      <c r="E48" s="322"/>
    </row>
    <row r="49" spans="1:5">
      <c r="A49" s="32"/>
      <c r="B49" s="322"/>
      <c r="C49" s="322"/>
      <c r="D49" s="322"/>
      <c r="E49" s="322"/>
    </row>
    <row r="50" spans="1:5">
      <c r="A50" s="32"/>
      <c r="B50" s="322"/>
      <c r="C50" s="322"/>
      <c r="D50" s="322"/>
      <c r="E50" s="322"/>
    </row>
    <row r="51" spans="1:5">
      <c r="A51" s="32"/>
      <c r="B51" s="322"/>
      <c r="C51" s="322"/>
      <c r="D51" s="322"/>
      <c r="E51" s="322"/>
    </row>
    <row r="52" spans="1:5">
      <c r="A52" s="32"/>
      <c r="B52" s="322"/>
      <c r="C52" s="322"/>
      <c r="D52" s="322"/>
      <c r="E52" s="322"/>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H23" sqref="H23"/>
    </sheetView>
  </sheetViews>
  <sheetFormatPr defaultRowHeight="15"/>
  <cols>
    <col min="1" max="1" width="24.710937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 bestFit="1" customWidth="1"/>
    <col min="9" max="9" width="9.5703125" bestFit="1" customWidth="1"/>
    <col min="10" max="10" width="18.85546875" bestFit="1" customWidth="1"/>
    <col min="11" max="11" width="15.42578125" bestFit="1" customWidth="1"/>
  </cols>
  <sheetData>
    <row r="1" spans="1:11" ht="15.75">
      <c r="A1" s="176" t="s">
        <v>4821</v>
      </c>
      <c r="B1" s="176" t="s">
        <v>4822</v>
      </c>
      <c r="C1" s="370" t="s">
        <v>6707</v>
      </c>
      <c r="D1" s="176" t="s">
        <v>6706</v>
      </c>
      <c r="E1" s="370" t="s">
        <v>6708</v>
      </c>
      <c r="F1" s="176" t="s">
        <v>6709</v>
      </c>
      <c r="G1" s="176" t="s">
        <v>6229</v>
      </c>
      <c r="H1" s="176" t="s">
        <v>6866</v>
      </c>
      <c r="I1" s="176" t="s">
        <v>4245</v>
      </c>
      <c r="J1" s="176" t="s">
        <v>4905</v>
      </c>
      <c r="K1" s="359" t="s">
        <v>4651</v>
      </c>
    </row>
    <row r="2" spans="1:11" ht="15.75">
      <c r="A2" s="361" t="s">
        <v>6743</v>
      </c>
      <c r="B2" s="362">
        <v>66006193</v>
      </c>
      <c r="C2" s="362">
        <v>800</v>
      </c>
      <c r="D2" s="362">
        <f t="shared" ref="D2:D21" si="0">B2*C2/$K$2</f>
        <v>4.4004128666666666</v>
      </c>
      <c r="E2" s="361">
        <v>700</v>
      </c>
      <c r="F2" s="361">
        <f t="shared" ref="F2:F21" si="1">B2*E2/$K$2</f>
        <v>3.8503612583333333</v>
      </c>
      <c r="G2" s="361">
        <v>650</v>
      </c>
      <c r="H2" s="361">
        <f t="shared" ref="H2:H21" si="2">B2*G2/$K$2</f>
        <v>3.5753354541666669</v>
      </c>
      <c r="I2" s="361">
        <v>2386</v>
      </c>
      <c r="J2" s="361">
        <f t="shared" ref="J2:J21" si="3">B2*I2/$K$2</f>
        <v>13.124231374833334</v>
      </c>
      <c r="K2" s="362">
        <v>12000000000</v>
      </c>
    </row>
    <row r="3" spans="1:11" ht="15.75">
      <c r="A3" s="363" t="s">
        <v>5785</v>
      </c>
      <c r="B3" s="362">
        <v>2755813481</v>
      </c>
      <c r="C3" s="364">
        <f>'سهام بنیادی'!D20</f>
        <v>210</v>
      </c>
      <c r="D3" s="362">
        <f>B3*C3/$K$2</f>
        <v>48.226735917500001</v>
      </c>
      <c r="E3" s="367">
        <f>'سهام بنیادی'!B20</f>
        <v>144</v>
      </c>
      <c r="F3" s="361">
        <f t="shared" si="1"/>
        <v>33.069761772</v>
      </c>
      <c r="G3" s="363">
        <f>'سهام بنیادی'!C20</f>
        <v>100</v>
      </c>
      <c r="H3" s="361">
        <f t="shared" si="2"/>
        <v>22.965112341666668</v>
      </c>
      <c r="I3" s="363">
        <f>'سهام بنیادی'!E20</f>
        <v>1569</v>
      </c>
      <c r="J3" s="361">
        <f t="shared" si="3"/>
        <v>360.32261264074998</v>
      </c>
      <c r="K3" s="376"/>
    </row>
    <row r="4" spans="1:11" ht="15.75">
      <c r="A4" s="361" t="s">
        <v>6738</v>
      </c>
      <c r="B4" s="362">
        <v>1016599277</v>
      </c>
      <c r="C4" s="362">
        <f>'سهام بنیادی'!D22</f>
        <v>280</v>
      </c>
      <c r="D4" s="362">
        <f t="shared" si="0"/>
        <v>23.720649796666667</v>
      </c>
      <c r="E4" s="369">
        <f>'سهام بنیادی'!B22</f>
        <v>130.6</v>
      </c>
      <c r="F4" s="361">
        <f t="shared" si="1"/>
        <v>11.063988798016666</v>
      </c>
      <c r="G4" s="361">
        <f>'سهام بنیادی'!C22</f>
        <v>40</v>
      </c>
      <c r="H4" s="361">
        <f t="shared" si="2"/>
        <v>3.3886642566666665</v>
      </c>
      <c r="I4" s="361">
        <f>'سهام بنیادی'!E22</f>
        <v>1142</v>
      </c>
      <c r="J4" s="361">
        <f t="shared" si="3"/>
        <v>96.746364527833336</v>
      </c>
      <c r="K4" s="376"/>
    </row>
    <row r="5" spans="1:11" ht="15.75">
      <c r="A5" s="363" t="s">
        <v>6739</v>
      </c>
      <c r="B5" s="364">
        <v>602710539</v>
      </c>
      <c r="C5" s="364">
        <f>'سهام بنیادی'!D31</f>
        <v>140</v>
      </c>
      <c r="D5" s="362">
        <f t="shared" si="0"/>
        <v>7.0316229549999996</v>
      </c>
      <c r="E5" s="367">
        <f>'سهام بنیادی'!B31</f>
        <v>79.5</v>
      </c>
      <c r="F5" s="361">
        <f t="shared" si="1"/>
        <v>3.992957320875</v>
      </c>
      <c r="G5" s="363">
        <f>'سهام بنیادی'!C31</f>
        <v>55.7</v>
      </c>
      <c r="H5" s="361">
        <f t="shared" si="2"/>
        <v>2.7975814185250001</v>
      </c>
      <c r="I5" s="363">
        <f>'سهام بنیادی'!E31</f>
        <v>1435</v>
      </c>
      <c r="J5" s="361">
        <f t="shared" si="3"/>
        <v>72.07413528875</v>
      </c>
      <c r="K5" s="376"/>
    </row>
    <row r="6" spans="1:11" ht="15.75">
      <c r="A6" s="361" t="s">
        <v>6740</v>
      </c>
      <c r="B6" s="362">
        <v>213196988</v>
      </c>
      <c r="C6" s="362">
        <v>200</v>
      </c>
      <c r="D6" s="362">
        <f t="shared" si="0"/>
        <v>3.5532831333333332</v>
      </c>
      <c r="E6" s="369">
        <v>167</v>
      </c>
      <c r="F6" s="361">
        <f t="shared" si="1"/>
        <v>2.9669914163333333</v>
      </c>
      <c r="G6" s="361">
        <v>85</v>
      </c>
      <c r="H6" s="361">
        <f t="shared" si="2"/>
        <v>1.5101453316666666</v>
      </c>
      <c r="I6" s="361">
        <v>1650</v>
      </c>
      <c r="J6" s="361">
        <f t="shared" si="3"/>
        <v>29.31458585</v>
      </c>
      <c r="K6" s="376"/>
    </row>
    <row r="7" spans="1:11" ht="15.75">
      <c r="A7" s="363" t="s">
        <v>4216</v>
      </c>
      <c r="B7" s="364">
        <v>113533718</v>
      </c>
      <c r="C7" s="364">
        <v>300</v>
      </c>
      <c r="D7" s="362">
        <f t="shared" si="0"/>
        <v>2.8383429499999999</v>
      </c>
      <c r="E7" s="367">
        <v>230</v>
      </c>
      <c r="F7" s="361">
        <f t="shared" si="1"/>
        <v>2.1760629283333333</v>
      </c>
      <c r="G7" s="363">
        <v>200</v>
      </c>
      <c r="H7" s="361">
        <f t="shared" si="2"/>
        <v>1.8922286333333334</v>
      </c>
      <c r="I7" s="363">
        <v>1530</v>
      </c>
      <c r="J7" s="361">
        <f t="shared" si="3"/>
        <v>14.475549044999999</v>
      </c>
      <c r="K7" s="376"/>
    </row>
    <row r="8" spans="1:11" ht="15.75">
      <c r="A8" s="361" t="s">
        <v>6258</v>
      </c>
      <c r="B8" s="362">
        <v>3714526987</v>
      </c>
      <c r="C8" s="362">
        <f>'سهام بنیادی'!D19</f>
        <v>175</v>
      </c>
      <c r="D8" s="362">
        <f t="shared" si="0"/>
        <v>54.17018522708333</v>
      </c>
      <c r="E8" s="369">
        <f>'سهام بنیادی'!B19</f>
        <v>95</v>
      </c>
      <c r="F8" s="361">
        <f t="shared" si="1"/>
        <v>29.406671980416668</v>
      </c>
      <c r="G8" s="361">
        <f>'سهام بنیادی'!C19</f>
        <v>65</v>
      </c>
      <c r="H8" s="361">
        <f t="shared" si="2"/>
        <v>20.120354512916666</v>
      </c>
      <c r="I8" s="361">
        <f>'سهام بنیادی'!E19</f>
        <v>1298</v>
      </c>
      <c r="J8" s="361">
        <f t="shared" si="3"/>
        <v>401.78800242716665</v>
      </c>
      <c r="K8" s="376"/>
    </row>
    <row r="9" spans="1:11" ht="15.75">
      <c r="A9" s="363" t="s">
        <v>4508</v>
      </c>
      <c r="B9" s="364">
        <v>2665187541</v>
      </c>
      <c r="C9" s="364">
        <f>'سهام بنیادی'!D21</f>
        <v>140</v>
      </c>
      <c r="D9" s="362">
        <f t="shared" si="0"/>
        <v>31.093854645</v>
      </c>
      <c r="E9" s="367">
        <f>'سهام بنیادی'!B21</f>
        <v>65</v>
      </c>
      <c r="F9" s="361">
        <f t="shared" si="1"/>
        <v>14.436432513750001</v>
      </c>
      <c r="G9" s="363">
        <f>'سهام بنیادی'!C21</f>
        <v>14</v>
      </c>
      <c r="H9" s="361">
        <f t="shared" si="2"/>
        <v>3.1093854644999999</v>
      </c>
      <c r="I9" s="363">
        <f>'سهام بنیادی'!E21</f>
        <v>712</v>
      </c>
      <c r="J9" s="361">
        <f t="shared" si="3"/>
        <v>158.13446076599999</v>
      </c>
      <c r="K9" s="376"/>
    </row>
    <row r="10" spans="1:11" ht="15.75">
      <c r="A10" s="361" t="s">
        <v>5792</v>
      </c>
      <c r="B10" s="362">
        <v>111005114</v>
      </c>
      <c r="C10" s="362">
        <v>250</v>
      </c>
      <c r="D10" s="362">
        <f t="shared" si="0"/>
        <v>2.3126065416666668</v>
      </c>
      <c r="E10" s="369">
        <v>223</v>
      </c>
      <c r="F10" s="361">
        <f t="shared" si="1"/>
        <v>2.0628450351666667</v>
      </c>
      <c r="G10" s="361">
        <v>80</v>
      </c>
      <c r="H10" s="361">
        <f t="shared" si="2"/>
        <v>0.74003409333333336</v>
      </c>
      <c r="I10" s="361">
        <v>1600</v>
      </c>
      <c r="J10" s="361">
        <f t="shared" si="3"/>
        <v>14.800681866666666</v>
      </c>
      <c r="K10" s="376"/>
    </row>
    <row r="11" spans="1:11" ht="15.75">
      <c r="A11" s="363" t="s">
        <v>4475</v>
      </c>
      <c r="B11" s="364">
        <v>7385687</v>
      </c>
      <c r="C11" s="364">
        <v>2000</v>
      </c>
      <c r="D11" s="362">
        <f t="shared" si="0"/>
        <v>1.2309478333333332</v>
      </c>
      <c r="E11" s="367">
        <v>5800</v>
      </c>
      <c r="F11" s="361">
        <f t="shared" si="1"/>
        <v>3.5697487166666666</v>
      </c>
      <c r="G11" s="363">
        <v>5800</v>
      </c>
      <c r="H11" s="361">
        <f t="shared" si="2"/>
        <v>3.5697487166666666</v>
      </c>
      <c r="I11" s="363">
        <v>40260</v>
      </c>
      <c r="J11" s="361">
        <f t="shared" si="3"/>
        <v>24.778979884999998</v>
      </c>
      <c r="K11" s="376"/>
    </row>
    <row r="12" spans="1:11" ht="18.75">
      <c r="A12" s="363" t="s">
        <v>4827</v>
      </c>
      <c r="B12" s="364">
        <v>86946858</v>
      </c>
      <c r="C12" s="364">
        <v>2134</v>
      </c>
      <c r="D12" s="362">
        <f t="shared" si="0"/>
        <v>15.462049581</v>
      </c>
      <c r="E12" s="367">
        <v>930</v>
      </c>
      <c r="F12" s="361">
        <f t="shared" si="1"/>
        <v>6.7383814949999996</v>
      </c>
      <c r="G12" s="379">
        <v>650</v>
      </c>
      <c r="H12" s="361">
        <f t="shared" si="2"/>
        <v>4.7096214749999996</v>
      </c>
      <c r="I12" s="363">
        <f>'سهام بنیادی'!E3</f>
        <v>16501</v>
      </c>
      <c r="J12" s="361">
        <f t="shared" si="3"/>
        <v>119.55917532150001</v>
      </c>
      <c r="K12" s="376"/>
    </row>
    <row r="13" spans="1:11" ht="15.75">
      <c r="A13" s="361" t="s">
        <v>4358</v>
      </c>
      <c r="B13" s="362">
        <v>6727696</v>
      </c>
      <c r="C13" s="362">
        <f>'سهام بنیادی'!D6</f>
        <v>1267</v>
      </c>
      <c r="D13" s="362">
        <f t="shared" si="0"/>
        <v>0.71033256933333333</v>
      </c>
      <c r="E13" s="369">
        <f>'سهام بنیادی'!B6</f>
        <v>2412</v>
      </c>
      <c r="F13" s="361">
        <f t="shared" si="1"/>
        <v>1.3522668959999999</v>
      </c>
      <c r="G13" s="361">
        <f>'سهام بنیادی'!C6</f>
        <v>2300</v>
      </c>
      <c r="H13" s="361">
        <f t="shared" si="2"/>
        <v>1.2894750666666666</v>
      </c>
      <c r="I13" s="361">
        <f>'سهام بنیادی'!E6</f>
        <v>19935</v>
      </c>
      <c r="J13" s="361">
        <f t="shared" si="3"/>
        <v>11.17638498</v>
      </c>
      <c r="K13" s="376"/>
    </row>
    <row r="14" spans="1:11" ht="15.75">
      <c r="A14" s="363" t="s">
        <v>5834</v>
      </c>
      <c r="B14" s="364">
        <v>299554087</v>
      </c>
      <c r="C14" s="364">
        <f>'سهام بنیادی'!D28</f>
        <v>600</v>
      </c>
      <c r="D14" s="362">
        <f t="shared" si="0"/>
        <v>14.97770435</v>
      </c>
      <c r="E14" s="367">
        <f>'سهام بنیادی'!B28</f>
        <v>391</v>
      </c>
      <c r="F14" s="361">
        <f t="shared" si="1"/>
        <v>9.7604706680833342</v>
      </c>
      <c r="G14" s="363">
        <f>'سهام بنیادی'!C28</f>
        <v>353</v>
      </c>
      <c r="H14" s="361">
        <f t="shared" si="2"/>
        <v>8.8118827259166661</v>
      </c>
      <c r="I14" s="363">
        <f>'سهام بنیادی'!E28</f>
        <v>2900</v>
      </c>
      <c r="J14" s="361">
        <f t="shared" si="3"/>
        <v>72.392237691666665</v>
      </c>
      <c r="K14" s="376"/>
    </row>
    <row r="15" spans="1:11" ht="15.75">
      <c r="A15" s="361" t="s">
        <v>5791</v>
      </c>
      <c r="B15" s="362">
        <v>103608037</v>
      </c>
      <c r="C15" s="362">
        <v>160</v>
      </c>
      <c r="D15" s="362">
        <f t="shared" si="0"/>
        <v>1.3814404933333333</v>
      </c>
      <c r="E15" s="361">
        <v>134</v>
      </c>
      <c r="F15" s="361">
        <f t="shared" si="1"/>
        <v>1.1569564131666668</v>
      </c>
      <c r="G15" s="361">
        <v>60</v>
      </c>
      <c r="H15" s="361">
        <f t="shared" si="2"/>
        <v>0.51804018500000004</v>
      </c>
      <c r="I15" s="361">
        <v>1235</v>
      </c>
      <c r="J15" s="361">
        <f t="shared" si="3"/>
        <v>10.662993807916667</v>
      </c>
      <c r="K15" s="376" t="s">
        <v>25</v>
      </c>
    </row>
    <row r="16" spans="1:11" ht="15.75">
      <c r="A16" s="363" t="s">
        <v>5759</v>
      </c>
      <c r="B16" s="364">
        <v>38247354</v>
      </c>
      <c r="C16" s="364">
        <v>1000</v>
      </c>
      <c r="D16" s="362">
        <f t="shared" si="0"/>
        <v>3.1872794999999998</v>
      </c>
      <c r="E16" s="363">
        <v>727</v>
      </c>
      <c r="F16" s="361">
        <f t="shared" si="1"/>
        <v>2.3171521964999999</v>
      </c>
      <c r="G16" s="363">
        <v>650</v>
      </c>
      <c r="H16" s="361">
        <f t="shared" si="2"/>
        <v>2.0717316750000001</v>
      </c>
      <c r="I16" s="363">
        <v>4805</v>
      </c>
      <c r="J16" s="361">
        <f t="shared" si="3"/>
        <v>15.3148779975</v>
      </c>
      <c r="K16" s="376" t="s">
        <v>25</v>
      </c>
    </row>
    <row r="17" spans="1:11" ht="15.75">
      <c r="A17" s="361" t="s">
        <v>6741</v>
      </c>
      <c r="B17" s="362">
        <v>79825258</v>
      </c>
      <c r="C17" s="362">
        <v>250</v>
      </c>
      <c r="D17" s="362">
        <f t="shared" si="0"/>
        <v>1.6630262083333334</v>
      </c>
      <c r="E17" s="361">
        <v>197</v>
      </c>
      <c r="F17" s="361">
        <f t="shared" si="1"/>
        <v>1.3104646521666667</v>
      </c>
      <c r="G17" s="361">
        <v>180</v>
      </c>
      <c r="H17" s="361">
        <f t="shared" si="2"/>
        <v>1.1973788700000001</v>
      </c>
      <c r="I17" s="361">
        <v>2370</v>
      </c>
      <c r="J17" s="361">
        <f t="shared" si="3"/>
        <v>15.765488455</v>
      </c>
      <c r="K17" s="376"/>
    </row>
    <row r="18" spans="1:11" ht="15.75">
      <c r="A18" s="363" t="s">
        <v>4354</v>
      </c>
      <c r="B18" s="364">
        <v>6427897</v>
      </c>
      <c r="C18" s="364">
        <v>3000</v>
      </c>
      <c r="D18" s="362">
        <f t="shared" si="0"/>
        <v>1.6069742499999999</v>
      </c>
      <c r="E18" s="363">
        <v>2037</v>
      </c>
      <c r="F18" s="361">
        <f t="shared" si="1"/>
        <v>1.09113551575</v>
      </c>
      <c r="G18" s="363">
        <v>2000</v>
      </c>
      <c r="H18" s="361">
        <f t="shared" si="2"/>
        <v>1.0713161666666666</v>
      </c>
      <c r="I18" s="363">
        <v>18724</v>
      </c>
      <c r="J18" s="361">
        <f t="shared" si="3"/>
        <v>10.029661952333333</v>
      </c>
      <c r="K18" s="376"/>
    </row>
    <row r="19" spans="1:11" ht="15.75">
      <c r="A19" s="361" t="s">
        <v>5786</v>
      </c>
      <c r="B19" s="362">
        <v>125228976</v>
      </c>
      <c r="C19" s="362">
        <f>'سهام بنیادی'!D18</f>
        <v>440</v>
      </c>
      <c r="D19" s="362">
        <f t="shared" si="0"/>
        <v>4.5917291200000001</v>
      </c>
      <c r="E19" s="361">
        <f>'سهام بنیادی'!B18</f>
        <v>173</v>
      </c>
      <c r="F19" s="361">
        <f t="shared" si="1"/>
        <v>1.805384404</v>
      </c>
      <c r="G19" s="361">
        <f>'سهام بنیادی'!C18</f>
        <v>170</v>
      </c>
      <c r="H19" s="361">
        <f t="shared" si="2"/>
        <v>1.77407716</v>
      </c>
      <c r="I19" s="361">
        <v>4454</v>
      </c>
      <c r="J19" s="361">
        <f t="shared" si="3"/>
        <v>46.480821591999998</v>
      </c>
      <c r="K19" s="376"/>
    </row>
    <row r="20" spans="1:11" ht="15.75">
      <c r="A20" s="363" t="s">
        <v>6742</v>
      </c>
      <c r="B20" s="364">
        <v>891943775</v>
      </c>
      <c r="C20" s="364">
        <v>0</v>
      </c>
      <c r="D20" s="362">
        <f t="shared" si="0"/>
        <v>0</v>
      </c>
      <c r="E20" s="364">
        <v>0</v>
      </c>
      <c r="F20" s="361">
        <f t="shared" si="1"/>
        <v>0</v>
      </c>
      <c r="G20" s="364">
        <v>0</v>
      </c>
      <c r="H20" s="361">
        <f t="shared" si="2"/>
        <v>0</v>
      </c>
      <c r="I20" s="363">
        <v>1100</v>
      </c>
      <c r="J20" s="361">
        <f t="shared" si="3"/>
        <v>81.761512708333328</v>
      </c>
      <c r="K20" s="376"/>
    </row>
    <row r="21" spans="1:11" ht="15.75">
      <c r="A21" s="363" t="s">
        <v>6714</v>
      </c>
      <c r="B21" s="364">
        <v>1</v>
      </c>
      <c r="C21" s="364">
        <v>500000000000</v>
      </c>
      <c r="D21" s="362">
        <f t="shared" si="0"/>
        <v>41.666666666666664</v>
      </c>
      <c r="E21" s="364">
        <v>500000000000</v>
      </c>
      <c r="F21" s="361">
        <f t="shared" si="1"/>
        <v>41.666666666666664</v>
      </c>
      <c r="G21" s="364">
        <v>300000000000</v>
      </c>
      <c r="H21" s="361">
        <f t="shared" si="2"/>
        <v>25</v>
      </c>
      <c r="I21" s="363">
        <v>3000000000000</v>
      </c>
      <c r="J21" s="361">
        <f t="shared" si="3"/>
        <v>250</v>
      </c>
      <c r="K21" s="376"/>
    </row>
    <row r="22" spans="1:11" ht="15.75">
      <c r="A22" s="365"/>
      <c r="B22" s="358"/>
      <c r="C22" s="358"/>
      <c r="D22" s="358"/>
      <c r="E22" s="365"/>
      <c r="F22" s="365"/>
      <c r="G22" s="365"/>
      <c r="H22" s="365"/>
      <c r="I22" s="365"/>
      <c r="J22" s="365"/>
      <c r="K22" s="376"/>
    </row>
    <row r="23" spans="1:11" ht="21">
      <c r="A23" s="365"/>
      <c r="B23" s="365"/>
      <c r="C23" s="365"/>
      <c r="D23" s="358">
        <f>SUM(D2:D22)</f>
        <v>263.82584460491665</v>
      </c>
      <c r="E23" s="365"/>
      <c r="F23" s="365">
        <f>SUM(F3:F22)</f>
        <v>169.94433938889168</v>
      </c>
      <c r="G23" s="365"/>
      <c r="H23" s="365">
        <f>SUM(H3:H22)</f>
        <v>106.53677809352499</v>
      </c>
      <c r="I23" s="366" t="s">
        <v>4432</v>
      </c>
      <c r="J23" s="366">
        <f>SUM(J2:J21)</f>
        <v>1818.70275817825</v>
      </c>
      <c r="K23" s="376"/>
    </row>
    <row r="24" spans="1:11" ht="21">
      <c r="A24" s="365"/>
      <c r="B24" s="365"/>
      <c r="C24" s="365"/>
      <c r="D24" s="365" t="s">
        <v>6</v>
      </c>
      <c r="E24" s="365"/>
      <c r="F24" s="365" t="s">
        <v>6</v>
      </c>
      <c r="G24" s="365"/>
      <c r="H24" s="365" t="s">
        <v>6</v>
      </c>
      <c r="I24" s="366" t="s">
        <v>5007</v>
      </c>
      <c r="J24" s="366">
        <v>805</v>
      </c>
      <c r="K24" s="376"/>
    </row>
    <row r="25" spans="1:11" ht="21">
      <c r="A25" s="365"/>
      <c r="B25" s="365"/>
      <c r="C25" s="365"/>
      <c r="D25" s="365"/>
      <c r="E25" s="365"/>
      <c r="F25" s="365"/>
      <c r="G25" s="365"/>
      <c r="H25" s="365"/>
      <c r="I25" s="366" t="s">
        <v>5008</v>
      </c>
      <c r="J25" s="366">
        <f>J24/J23</f>
        <v>0.44262318093493674</v>
      </c>
      <c r="K25" s="37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C4" sqref="C4"/>
    </sheetView>
  </sheetViews>
  <sheetFormatPr defaultRowHeight="15"/>
  <cols>
    <col min="1" max="1" width="19" bestFit="1" customWidth="1"/>
    <col min="2" max="2" width="15.425781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15.42578125" bestFit="1" customWidth="1"/>
  </cols>
  <sheetData>
    <row r="1" spans="1:11" ht="15.75">
      <c r="A1" s="176" t="s">
        <v>4821</v>
      </c>
      <c r="B1" s="176" t="s">
        <v>4822</v>
      </c>
      <c r="C1" s="370" t="s">
        <v>6707</v>
      </c>
      <c r="D1" s="176" t="s">
        <v>6706</v>
      </c>
      <c r="E1" s="370" t="s">
        <v>6708</v>
      </c>
      <c r="F1" s="176" t="s">
        <v>6709</v>
      </c>
      <c r="G1" s="176" t="s">
        <v>6229</v>
      </c>
      <c r="H1" s="176" t="s">
        <v>6719</v>
      </c>
      <c r="I1" s="176" t="s">
        <v>4245</v>
      </c>
      <c r="J1" s="176" t="s">
        <v>4905</v>
      </c>
      <c r="K1" s="359" t="s">
        <v>5788</v>
      </c>
    </row>
    <row r="2" spans="1:11" ht="15.75">
      <c r="A2" s="361" t="s">
        <v>6710</v>
      </c>
      <c r="B2" s="362">
        <v>980726326</v>
      </c>
      <c r="C2" s="362">
        <v>800</v>
      </c>
      <c r="D2" s="362">
        <f t="shared" ref="D2:D21" si="0">B2*C2/$K$2</f>
        <v>9.6267614822085896</v>
      </c>
      <c r="E2" s="369">
        <v>534</v>
      </c>
      <c r="F2" s="361">
        <f t="shared" ref="F2:F21" si="1">B2*E2/$K$2</f>
        <v>6.4258632893742336</v>
      </c>
      <c r="G2" s="361">
        <v>500</v>
      </c>
      <c r="H2" s="361">
        <f t="shared" ref="H2:H21" si="2">B2*G2/$K$2</f>
        <v>6.0167259263803681</v>
      </c>
      <c r="I2" s="361">
        <v>4383</v>
      </c>
      <c r="J2" s="361">
        <f t="shared" ref="J2:J21" si="3">B2*I2/$K$2</f>
        <v>52.742619470650304</v>
      </c>
      <c r="K2" s="362">
        <v>81500000000</v>
      </c>
    </row>
    <row r="3" spans="1:11" ht="15.75">
      <c r="A3" s="363" t="s">
        <v>4475</v>
      </c>
      <c r="B3" s="364">
        <v>478789262</v>
      </c>
      <c r="C3" s="364">
        <v>2655</v>
      </c>
      <c r="D3" s="362">
        <f t="shared" si="0"/>
        <v>15.597367982944785</v>
      </c>
      <c r="E3" s="367">
        <v>6439</v>
      </c>
      <c r="F3" s="361">
        <f t="shared" si="1"/>
        <v>37.827289055435585</v>
      </c>
      <c r="G3" s="363">
        <v>6400</v>
      </c>
      <c r="H3" s="361">
        <f t="shared" si="2"/>
        <v>37.598175175460121</v>
      </c>
      <c r="I3" s="363">
        <v>37780</v>
      </c>
      <c r="J3" s="361">
        <f t="shared" si="3"/>
        <v>221.94672783263803</v>
      </c>
      <c r="K3" s="360"/>
    </row>
    <row r="4" spans="1:11" ht="15.75">
      <c r="A4" s="361" t="s">
        <v>6718</v>
      </c>
      <c r="B4" s="362">
        <v>1226605805</v>
      </c>
      <c r="C4" s="362">
        <v>150</v>
      </c>
      <c r="D4" s="362">
        <f t="shared" si="0"/>
        <v>2.2575566963190186</v>
      </c>
      <c r="E4" s="369">
        <v>108</v>
      </c>
      <c r="F4" s="361">
        <f t="shared" si="1"/>
        <v>1.6254408213496931</v>
      </c>
      <c r="G4" s="361">
        <v>10.8</v>
      </c>
      <c r="H4" s="361">
        <f t="shared" si="2"/>
        <v>0.16254408213496932</v>
      </c>
      <c r="I4" s="361">
        <v>1242</v>
      </c>
      <c r="J4" s="361">
        <f t="shared" si="3"/>
        <v>18.692569445521471</v>
      </c>
      <c r="K4" s="360"/>
    </row>
    <row r="5" spans="1:11" ht="15.75">
      <c r="A5" s="363" t="s">
        <v>6717</v>
      </c>
      <c r="B5" s="364">
        <v>2939645030</v>
      </c>
      <c r="C5" s="364">
        <v>10</v>
      </c>
      <c r="D5" s="362">
        <f t="shared" si="0"/>
        <v>0.36069264171779142</v>
      </c>
      <c r="E5" s="367">
        <v>3.2</v>
      </c>
      <c r="F5" s="361">
        <f t="shared" si="1"/>
        <v>0.11542164534969325</v>
      </c>
      <c r="G5" s="363">
        <v>0</v>
      </c>
      <c r="H5" s="361">
        <f t="shared" si="2"/>
        <v>0</v>
      </c>
      <c r="I5" s="363">
        <v>473</v>
      </c>
      <c r="J5" s="361">
        <f t="shared" si="3"/>
        <v>17.060761953251532</v>
      </c>
      <c r="K5" s="360"/>
    </row>
    <row r="6" spans="1:11" ht="15.75">
      <c r="A6" s="361" t="s">
        <v>6720</v>
      </c>
      <c r="B6" s="362">
        <v>1270296458</v>
      </c>
      <c r="C6" s="362">
        <v>300</v>
      </c>
      <c r="D6" s="362">
        <f t="shared" si="0"/>
        <v>4.6759378822085891</v>
      </c>
      <c r="E6" s="369">
        <v>300</v>
      </c>
      <c r="F6" s="361">
        <f t="shared" si="1"/>
        <v>4.6759378822085891</v>
      </c>
      <c r="G6" s="361">
        <v>270</v>
      </c>
      <c r="H6" s="361">
        <f t="shared" si="2"/>
        <v>4.2083440939877299</v>
      </c>
      <c r="I6" s="361">
        <v>2402</v>
      </c>
      <c r="J6" s="361">
        <f t="shared" si="3"/>
        <v>37.438675976883438</v>
      </c>
      <c r="K6" s="360"/>
    </row>
    <row r="7" spans="1:11" ht="15.75">
      <c r="A7" s="363" t="s">
        <v>5795</v>
      </c>
      <c r="B7" s="364">
        <v>1336082292</v>
      </c>
      <c r="C7" s="364">
        <v>2500</v>
      </c>
      <c r="D7" s="362">
        <f t="shared" si="0"/>
        <v>40.984119386503068</v>
      </c>
      <c r="E7" s="367">
        <v>1450</v>
      </c>
      <c r="F7" s="361">
        <f t="shared" si="1"/>
        <v>23.77078924417178</v>
      </c>
      <c r="G7" s="363">
        <v>1150</v>
      </c>
      <c r="H7" s="361">
        <f t="shared" si="2"/>
        <v>18.85269491779141</v>
      </c>
      <c r="I7" s="363">
        <v>18424</v>
      </c>
      <c r="J7" s="361">
        <f t="shared" si="3"/>
        <v>302.03656623077302</v>
      </c>
      <c r="K7" s="360"/>
    </row>
    <row r="8" spans="1:11" ht="15.75">
      <c r="A8" s="361" t="s">
        <v>4371</v>
      </c>
      <c r="B8" s="362">
        <v>1344540394</v>
      </c>
      <c r="C8" s="362">
        <v>800</v>
      </c>
      <c r="D8" s="362">
        <f t="shared" si="0"/>
        <v>13.197942517791411</v>
      </c>
      <c r="E8" s="369">
        <v>450</v>
      </c>
      <c r="F8" s="361">
        <f t="shared" si="1"/>
        <v>7.4238426662576691</v>
      </c>
      <c r="G8" s="361">
        <v>350</v>
      </c>
      <c r="H8" s="361">
        <f t="shared" si="2"/>
        <v>5.7740998515337427</v>
      </c>
      <c r="I8" s="361">
        <v>4330</v>
      </c>
      <c r="J8" s="361">
        <f t="shared" si="3"/>
        <v>71.433863877546017</v>
      </c>
      <c r="K8" s="360"/>
    </row>
    <row r="9" spans="1:11" ht="15.75">
      <c r="A9" s="363" t="s">
        <v>6721</v>
      </c>
      <c r="B9" s="364">
        <v>1200002514</v>
      </c>
      <c r="C9" s="364">
        <v>300</v>
      </c>
      <c r="D9" s="362">
        <f t="shared" si="0"/>
        <v>4.4171871680981596</v>
      </c>
      <c r="E9" s="367">
        <v>300</v>
      </c>
      <c r="F9" s="361">
        <f t="shared" si="1"/>
        <v>4.4171871680981596</v>
      </c>
      <c r="G9" s="363">
        <v>250</v>
      </c>
      <c r="H9" s="361">
        <f t="shared" si="2"/>
        <v>3.6809893067484665</v>
      </c>
      <c r="I9" s="363">
        <v>1897</v>
      </c>
      <c r="J9" s="361">
        <f t="shared" si="3"/>
        <v>27.931346859607363</v>
      </c>
      <c r="K9" s="360"/>
    </row>
    <row r="10" spans="1:11" ht="15.75">
      <c r="A10" s="361" t="s">
        <v>4476</v>
      </c>
      <c r="B10" s="362">
        <v>1114663695</v>
      </c>
      <c r="C10" s="362">
        <v>600</v>
      </c>
      <c r="D10" s="362">
        <f t="shared" si="0"/>
        <v>8.2061130920245393</v>
      </c>
      <c r="E10" s="369">
        <v>650</v>
      </c>
      <c r="F10" s="361">
        <f t="shared" si="1"/>
        <v>8.8899558496932514</v>
      </c>
      <c r="G10" s="361">
        <v>600</v>
      </c>
      <c r="H10" s="361">
        <f t="shared" si="2"/>
        <v>8.2061130920245393</v>
      </c>
      <c r="I10" s="361">
        <v>5020</v>
      </c>
      <c r="J10" s="361">
        <f t="shared" si="3"/>
        <v>68.657812869938653</v>
      </c>
      <c r="K10" s="360"/>
    </row>
    <row r="11" spans="1:11" ht="15.75">
      <c r="A11" s="363" t="s">
        <v>5759</v>
      </c>
      <c r="B11" s="364">
        <v>2321974047</v>
      </c>
      <c r="C11" s="364">
        <v>900</v>
      </c>
      <c r="D11" s="362">
        <f t="shared" si="0"/>
        <v>25.641431193865031</v>
      </c>
      <c r="E11" s="367">
        <v>727</v>
      </c>
      <c r="F11" s="361">
        <f t="shared" si="1"/>
        <v>20.712578308822085</v>
      </c>
      <c r="G11" s="363">
        <v>650</v>
      </c>
      <c r="H11" s="361">
        <f t="shared" si="2"/>
        <v>18.518811417791412</v>
      </c>
      <c r="I11" s="363">
        <v>4707</v>
      </c>
      <c r="J11" s="361">
        <f t="shared" si="3"/>
        <v>134.10468514391411</v>
      </c>
      <c r="K11" s="360"/>
    </row>
    <row r="12" spans="1:11" ht="15.75">
      <c r="A12" s="361" t="s">
        <v>4829</v>
      </c>
      <c r="B12" s="362">
        <v>770933241</v>
      </c>
      <c r="C12" s="362">
        <v>1700</v>
      </c>
      <c r="D12" s="362">
        <f t="shared" si="0"/>
        <v>16.080816069938649</v>
      </c>
      <c r="E12" s="369">
        <v>802</v>
      </c>
      <c r="F12" s="361">
        <f t="shared" si="1"/>
        <v>7.586361463582822</v>
      </c>
      <c r="G12" s="361">
        <v>590</v>
      </c>
      <c r="H12" s="361">
        <f t="shared" si="2"/>
        <v>5.5809891066257666</v>
      </c>
      <c r="I12" s="361">
        <v>8104</v>
      </c>
      <c r="J12" s="361">
        <f t="shared" si="3"/>
        <v>76.658196135754608</v>
      </c>
      <c r="K12" s="360"/>
    </row>
    <row r="13" spans="1:11" ht="21">
      <c r="A13" s="363" t="s">
        <v>5791</v>
      </c>
      <c r="B13" s="364">
        <v>21836381454</v>
      </c>
      <c r="C13" s="364">
        <v>150</v>
      </c>
      <c r="D13" s="362">
        <f t="shared" si="0"/>
        <v>40.189659117791408</v>
      </c>
      <c r="E13" s="367">
        <v>134</v>
      </c>
      <c r="F13" s="361">
        <f t="shared" si="1"/>
        <v>35.902762145226994</v>
      </c>
      <c r="G13" s="368">
        <v>60</v>
      </c>
      <c r="H13" s="371">
        <f t="shared" si="2"/>
        <v>16.075863647116563</v>
      </c>
      <c r="I13" s="363">
        <v>1210</v>
      </c>
      <c r="J13" s="361">
        <f t="shared" si="3"/>
        <v>324.19658355018407</v>
      </c>
      <c r="K13" s="360"/>
    </row>
    <row r="14" spans="1:11" ht="15.75">
      <c r="A14" s="361" t="s">
        <v>6711</v>
      </c>
      <c r="B14" s="362">
        <v>880634647</v>
      </c>
      <c r="C14" s="362">
        <v>1400</v>
      </c>
      <c r="D14" s="362">
        <f t="shared" si="0"/>
        <v>15.127466328834355</v>
      </c>
      <c r="E14" s="369">
        <v>1090</v>
      </c>
      <c r="F14" s="361">
        <f t="shared" si="1"/>
        <v>11.777813070306749</v>
      </c>
      <c r="G14" s="361">
        <v>1000</v>
      </c>
      <c r="H14" s="361">
        <f t="shared" si="2"/>
        <v>10.80533309202454</v>
      </c>
      <c r="I14" s="361">
        <v>9067</v>
      </c>
      <c r="J14" s="361">
        <f t="shared" si="3"/>
        <v>97.971955145386502</v>
      </c>
      <c r="K14" s="360"/>
    </row>
    <row r="15" spans="1:11" ht="15.75">
      <c r="A15" s="363" t="s">
        <v>5268</v>
      </c>
      <c r="B15" s="364">
        <v>5351332707</v>
      </c>
      <c r="C15" s="364">
        <v>160</v>
      </c>
      <c r="D15" s="362">
        <f t="shared" si="0"/>
        <v>10.50568384196319</v>
      </c>
      <c r="E15" s="367">
        <v>160</v>
      </c>
      <c r="F15" s="361">
        <f t="shared" si="1"/>
        <v>10.50568384196319</v>
      </c>
      <c r="G15" s="363">
        <v>150</v>
      </c>
      <c r="H15" s="361">
        <f t="shared" si="2"/>
        <v>9.8490786018404908</v>
      </c>
      <c r="I15" s="363">
        <v>941</v>
      </c>
      <c r="J15" s="361">
        <f t="shared" si="3"/>
        <v>61.786553095546012</v>
      </c>
      <c r="K15" s="360" t="s">
        <v>25</v>
      </c>
    </row>
    <row r="16" spans="1:11" ht="15.75">
      <c r="A16" s="361" t="s">
        <v>6712</v>
      </c>
      <c r="B16" s="362">
        <v>1376998000</v>
      </c>
      <c r="C16" s="362">
        <v>1800</v>
      </c>
      <c r="D16" s="362">
        <f t="shared" si="0"/>
        <v>30.412225766871167</v>
      </c>
      <c r="E16" s="369">
        <v>1370</v>
      </c>
      <c r="F16" s="361">
        <f t="shared" si="1"/>
        <v>23.147082944785275</v>
      </c>
      <c r="G16" s="361">
        <v>1420</v>
      </c>
      <c r="H16" s="361">
        <f t="shared" si="2"/>
        <v>23.991866993865031</v>
      </c>
      <c r="I16" s="361">
        <v>9875</v>
      </c>
      <c r="J16" s="361">
        <f t="shared" si="3"/>
        <v>166.84484969325155</v>
      </c>
      <c r="K16" s="360" t="s">
        <v>25</v>
      </c>
    </row>
    <row r="17" spans="1:11" ht="15.75">
      <c r="A17" s="363" t="s">
        <v>6713</v>
      </c>
      <c r="B17" s="364">
        <v>174270956</v>
      </c>
      <c r="C17" s="364">
        <v>800</v>
      </c>
      <c r="D17" s="362">
        <f t="shared" si="0"/>
        <v>1.7106351509202453</v>
      </c>
      <c r="E17" s="367">
        <v>800</v>
      </c>
      <c r="F17" s="361">
        <f t="shared" si="1"/>
        <v>1.7106351509202453</v>
      </c>
      <c r="G17" s="363">
        <v>600</v>
      </c>
      <c r="H17" s="361">
        <f t="shared" si="2"/>
        <v>1.282976363190184</v>
      </c>
      <c r="I17" s="363">
        <v>6319</v>
      </c>
      <c r="J17" s="361">
        <f t="shared" si="3"/>
        <v>13.511879398331288</v>
      </c>
      <c r="K17" s="360"/>
    </row>
    <row r="18" spans="1:11" ht="15.75">
      <c r="A18" s="361" t="s">
        <v>6714</v>
      </c>
      <c r="B18" s="362">
        <v>1</v>
      </c>
      <c r="C18" s="362">
        <v>350000000000</v>
      </c>
      <c r="D18" s="362">
        <f t="shared" si="0"/>
        <v>4.294478527607362</v>
      </c>
      <c r="E18" s="369">
        <v>300000000000</v>
      </c>
      <c r="F18" s="361">
        <f t="shared" si="1"/>
        <v>3.6809815950920246</v>
      </c>
      <c r="G18" s="361">
        <v>250000000000</v>
      </c>
      <c r="H18" s="361">
        <f t="shared" si="2"/>
        <v>3.0674846625766872</v>
      </c>
      <c r="I18" s="361">
        <v>1800000000000</v>
      </c>
      <c r="J18" s="361">
        <f t="shared" si="3"/>
        <v>22.085889570552148</v>
      </c>
      <c r="K18" s="360"/>
    </row>
    <row r="19" spans="1:11" ht="15.75">
      <c r="A19" s="363" t="s">
        <v>6715</v>
      </c>
      <c r="B19" s="364">
        <v>12494998000</v>
      </c>
      <c r="C19" s="364">
        <v>800</v>
      </c>
      <c r="D19" s="362">
        <f t="shared" si="0"/>
        <v>122.65028711656441</v>
      </c>
      <c r="E19" s="367">
        <v>595</v>
      </c>
      <c r="F19" s="361">
        <f t="shared" si="1"/>
        <v>91.221151042944783</v>
      </c>
      <c r="G19" s="363">
        <v>59.5</v>
      </c>
      <c r="H19" s="361">
        <f t="shared" si="2"/>
        <v>9.1221151042944779</v>
      </c>
      <c r="I19" s="363">
        <v>3000</v>
      </c>
      <c r="J19" s="361">
        <f t="shared" si="3"/>
        <v>459.93857668711655</v>
      </c>
      <c r="K19" s="360"/>
    </row>
    <row r="20" spans="1:11" ht="15.75">
      <c r="A20" s="361" t="s">
        <v>6716</v>
      </c>
      <c r="B20" s="362">
        <v>3062221439</v>
      </c>
      <c r="C20" s="362">
        <v>30</v>
      </c>
      <c r="D20" s="362">
        <f t="shared" si="0"/>
        <v>1.1271980757055216</v>
      </c>
      <c r="E20" s="369">
        <v>20</v>
      </c>
      <c r="F20" s="361">
        <f t="shared" si="1"/>
        <v>0.751465383803681</v>
      </c>
      <c r="G20" s="361">
        <v>2</v>
      </c>
      <c r="H20" s="361">
        <f t="shared" si="2"/>
        <v>7.5146538380368097E-2</v>
      </c>
      <c r="I20" s="361">
        <v>2000</v>
      </c>
      <c r="J20" s="361">
        <f t="shared" si="3"/>
        <v>75.146538380368099</v>
      </c>
    </row>
    <row r="21" spans="1:11" ht="15.75">
      <c r="A21" s="363" t="s">
        <v>6262</v>
      </c>
      <c r="B21" s="364">
        <v>1</v>
      </c>
      <c r="C21" s="364">
        <v>750000000000</v>
      </c>
      <c r="D21" s="362">
        <f t="shared" si="0"/>
        <v>9.2024539877300615</v>
      </c>
      <c r="E21" s="364">
        <v>500000000000</v>
      </c>
      <c r="F21" s="361">
        <f t="shared" si="1"/>
        <v>6.1349693251533743</v>
      </c>
      <c r="G21" s="364">
        <v>300000000000</v>
      </c>
      <c r="H21" s="361">
        <f t="shared" si="2"/>
        <v>3.6809815950920246</v>
      </c>
      <c r="I21" s="363">
        <v>4000000000000</v>
      </c>
      <c r="J21" s="361">
        <f t="shared" si="3"/>
        <v>49.079754601226995</v>
      </c>
    </row>
    <row r="22" spans="1:11" ht="15.75">
      <c r="A22" s="365"/>
      <c r="B22" s="358"/>
      <c r="C22" s="358"/>
      <c r="D22" s="358"/>
      <c r="E22" s="365"/>
      <c r="F22" s="365"/>
      <c r="G22" s="365"/>
      <c r="H22" s="365"/>
      <c r="I22" s="365"/>
      <c r="J22" s="365"/>
    </row>
    <row r="23" spans="1:11" ht="21">
      <c r="A23" s="365"/>
      <c r="B23" s="365"/>
      <c r="C23" s="365"/>
      <c r="D23" s="358">
        <f>SUM(D2:D22)</f>
        <v>376.2660140276073</v>
      </c>
      <c r="E23" s="365"/>
      <c r="F23" s="365">
        <f>SUM(F3:F22)</f>
        <v>301.87734860516559</v>
      </c>
      <c r="G23" s="365"/>
      <c r="H23" s="365">
        <f>SUM(H2:H22)</f>
        <v>186.55033356885892</v>
      </c>
      <c r="I23" s="366" t="s">
        <v>4432</v>
      </c>
      <c r="J23" s="366">
        <f>SUM(J2:J21)</f>
        <v>2299.2664059184417</v>
      </c>
    </row>
    <row r="24" spans="1:11" ht="21">
      <c r="A24" s="365"/>
      <c r="B24" s="365"/>
      <c r="C24" s="365"/>
      <c r="D24" s="365" t="s">
        <v>6</v>
      </c>
      <c r="E24" s="365"/>
      <c r="F24" s="365" t="s">
        <v>6</v>
      </c>
      <c r="G24" s="365"/>
      <c r="H24" s="365" t="s">
        <v>6</v>
      </c>
      <c r="I24" s="366" t="s">
        <v>5007</v>
      </c>
      <c r="J24" s="366">
        <v>1400</v>
      </c>
    </row>
    <row r="25" spans="1:11" ht="21">
      <c r="A25" s="365"/>
      <c r="B25" s="365"/>
      <c r="C25" s="365"/>
      <c r="D25" s="365"/>
      <c r="E25" s="365"/>
      <c r="F25" s="365"/>
      <c r="G25" s="365"/>
      <c r="H25" s="365"/>
      <c r="I25" s="366" t="s">
        <v>5008</v>
      </c>
      <c r="J25" s="366">
        <f>J24/J23</f>
        <v>0.6088898599989635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4422</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4429</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4429</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4435</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4442</v>
      </c>
      <c r="B16" s="18">
        <v>12000000</v>
      </c>
      <c r="C16" s="18">
        <v>0</v>
      </c>
      <c r="D16" s="111">
        <f t="shared" si="0"/>
        <v>12000000</v>
      </c>
      <c r="E16" s="20" t="s">
        <v>4443</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4444</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4446</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4447</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4447</v>
      </c>
      <c r="B20" s="18">
        <v>0</v>
      </c>
      <c r="C20" s="18">
        <v>-8034286</v>
      </c>
      <c r="D20" s="111">
        <f t="shared" si="0"/>
        <v>8034286</v>
      </c>
      <c r="E20" s="19" t="s">
        <v>4448</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4447</v>
      </c>
      <c r="B21" s="18">
        <v>-10000</v>
      </c>
      <c r="C21" s="18">
        <v>0</v>
      </c>
      <c r="D21" s="111">
        <f t="shared" si="0"/>
        <v>-10000</v>
      </c>
      <c r="E21" s="19" t="s">
        <v>4449</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4450</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4454</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4455</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4455</v>
      </c>
      <c r="B25" s="18">
        <v>-100500</v>
      </c>
      <c r="C25" s="18">
        <v>0</v>
      </c>
      <c r="D25" s="111">
        <f t="shared" si="0"/>
        <v>-100500</v>
      </c>
      <c r="E25" s="19" t="s">
        <v>4457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4455</v>
      </c>
      <c r="B26" s="18">
        <v>-68670</v>
      </c>
      <c r="C26" s="18">
        <v>0</v>
      </c>
      <c r="D26" s="111">
        <f t="shared" si="0"/>
        <v>-68670</v>
      </c>
      <c r="E26" s="19" t="s">
        <v>4461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4458</v>
      </c>
      <c r="B27" s="18">
        <v>-118600</v>
      </c>
      <c r="C27" s="18">
        <v>0</v>
      </c>
      <c r="D27" s="111">
        <f t="shared" si="0"/>
        <v>-118600</v>
      </c>
      <c r="E27" s="19" t="s">
        <v>4463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4468</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4468</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4468</v>
      </c>
      <c r="B30" s="18">
        <v>-389000</v>
      </c>
      <c r="C30" s="18">
        <v>0</v>
      </c>
      <c r="D30" s="111">
        <f t="shared" si="0"/>
        <v>-389000</v>
      </c>
      <c r="E30" s="19" t="s">
        <v>4470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4420</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4423</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4425</v>
      </c>
      <c r="F40" s="94"/>
      <c r="G40" s="94"/>
      <c r="H40" s="94"/>
      <c r="I40" s="94"/>
      <c r="J40" s="94"/>
      <c r="K40" s="94"/>
      <c r="L40" s="94"/>
      <c r="M40" s="94"/>
      <c r="N40" s="94"/>
      <c r="O40" s="94"/>
      <c r="P40" s="94"/>
      <c r="Q40" s="94"/>
      <c r="R40" s="94"/>
      <c r="S40" s="94"/>
      <c r="T40" s="94"/>
    </row>
    <row r="41" spans="1:20">
      <c r="A41" s="94"/>
      <c r="B41" s="94"/>
      <c r="C41" s="94"/>
      <c r="D41" s="112">
        <v>40000</v>
      </c>
      <c r="E41" s="52" t="s">
        <v>4424</v>
      </c>
      <c r="F41" s="94"/>
      <c r="G41" s="94"/>
      <c r="H41" s="94"/>
      <c r="I41" s="94"/>
      <c r="J41" s="94"/>
      <c r="K41" s="94"/>
      <c r="L41" s="94"/>
      <c r="M41" s="94"/>
      <c r="N41" s="94"/>
      <c r="O41" s="94"/>
      <c r="P41" s="94"/>
      <c r="Q41" s="94"/>
      <c r="R41" s="94"/>
      <c r="S41" s="94"/>
      <c r="T41" s="94"/>
    </row>
    <row r="42" spans="1:20">
      <c r="A42" s="94"/>
      <c r="B42" s="94"/>
      <c r="C42" s="94"/>
      <c r="D42" s="112">
        <v>-490000</v>
      </c>
      <c r="E42" s="52" t="s">
        <v>4428</v>
      </c>
      <c r="F42" s="94"/>
      <c r="G42" s="94"/>
      <c r="H42" s="94"/>
      <c r="I42" s="94"/>
      <c r="J42" s="94"/>
      <c r="K42" s="94"/>
      <c r="L42" s="94"/>
      <c r="M42" s="94"/>
      <c r="N42" s="94"/>
      <c r="O42" s="94"/>
      <c r="P42" s="94"/>
      <c r="Q42" s="94"/>
      <c r="R42" s="94"/>
      <c r="S42" s="94"/>
      <c r="T42" s="94"/>
    </row>
    <row r="43" spans="1:20">
      <c r="A43" s="94"/>
      <c r="B43" s="94"/>
      <c r="C43" s="94"/>
      <c r="D43" s="112">
        <v>-597051</v>
      </c>
      <c r="E43" s="52" t="s">
        <v>4437</v>
      </c>
      <c r="F43" s="94"/>
      <c r="G43" s="94"/>
      <c r="H43" s="94"/>
      <c r="I43" s="94"/>
      <c r="J43" s="94"/>
      <c r="K43" s="94"/>
      <c r="L43" s="94"/>
      <c r="M43" s="94"/>
      <c r="N43" s="94"/>
      <c r="O43" s="94"/>
      <c r="P43" s="94"/>
      <c r="Q43" s="94"/>
      <c r="R43" s="94"/>
      <c r="S43" s="94"/>
      <c r="T43" s="94"/>
    </row>
    <row r="44" spans="1:20">
      <c r="A44" s="94"/>
      <c r="B44" s="94"/>
      <c r="C44" s="94"/>
      <c r="D44" s="112">
        <v>13900</v>
      </c>
      <c r="E44" s="52" t="s">
        <v>4438</v>
      </c>
      <c r="F44" s="94"/>
      <c r="G44" s="94"/>
      <c r="H44" s="94"/>
      <c r="I44" s="94"/>
      <c r="J44" s="94"/>
      <c r="K44" s="94"/>
      <c r="L44" s="94"/>
      <c r="M44" s="94"/>
      <c r="N44" s="94"/>
      <c r="O44" s="94"/>
      <c r="P44" s="94"/>
      <c r="Q44" s="94"/>
      <c r="R44" s="94"/>
      <c r="S44" s="94"/>
      <c r="T44" s="94"/>
    </row>
    <row r="45" spans="1:20">
      <c r="A45" s="94"/>
      <c r="B45" s="94"/>
      <c r="C45" s="94"/>
      <c r="D45" s="112">
        <v>2000000</v>
      </c>
      <c r="E45" s="52" t="s">
        <v>4439</v>
      </c>
      <c r="F45" s="94"/>
      <c r="G45" s="94" t="s">
        <v>25</v>
      </c>
      <c r="H45" s="94"/>
      <c r="I45" s="94"/>
      <c r="J45" s="94"/>
      <c r="K45" s="94"/>
      <c r="L45" s="94"/>
      <c r="M45" s="94"/>
      <c r="N45" s="94"/>
      <c r="O45" s="94"/>
      <c r="P45" s="94"/>
      <c r="Q45" s="94"/>
      <c r="R45" s="94"/>
      <c r="S45" s="94"/>
      <c r="T45" s="94"/>
    </row>
    <row r="46" spans="1:20">
      <c r="A46" s="94"/>
      <c r="B46" s="94"/>
      <c r="C46" s="94"/>
      <c r="D46" s="112">
        <v>-300000</v>
      </c>
      <c r="E46" s="52" t="s">
        <v>4440</v>
      </c>
      <c r="F46" s="94"/>
      <c r="G46" s="94" t="s">
        <v>25</v>
      </c>
      <c r="H46" s="94"/>
      <c r="I46" s="94"/>
      <c r="J46" s="94"/>
      <c r="K46" s="94"/>
      <c r="L46" s="94"/>
      <c r="M46" s="94"/>
      <c r="N46" s="94"/>
      <c r="O46" s="94"/>
      <c r="P46" s="94"/>
      <c r="Q46" s="94"/>
      <c r="R46" s="94"/>
      <c r="S46" s="94"/>
      <c r="T46" s="94"/>
    </row>
    <row r="47" spans="1:20" ht="30">
      <c r="A47" s="94"/>
      <c r="B47" s="94"/>
      <c r="C47" s="94"/>
      <c r="D47" s="112">
        <v>300000</v>
      </c>
      <c r="E47" s="52" t="s">
        <v>4445</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4451</v>
      </c>
      <c r="F49" s="94"/>
      <c r="G49" s="94"/>
      <c r="H49" s="94" t="s">
        <v>25</v>
      </c>
      <c r="I49" s="94"/>
      <c r="J49" s="94"/>
      <c r="K49" s="94"/>
      <c r="L49" s="94"/>
      <c r="M49" s="94"/>
      <c r="N49" s="94"/>
      <c r="O49" s="94"/>
      <c r="P49" s="94"/>
      <c r="Q49" s="94"/>
      <c r="R49" s="94"/>
      <c r="S49" s="94"/>
      <c r="T49" s="94"/>
    </row>
    <row r="50" spans="1:20">
      <c r="A50" s="94"/>
      <c r="B50" s="94"/>
      <c r="C50" s="94"/>
      <c r="D50" s="112">
        <v>-55000</v>
      </c>
      <c r="E50" s="52" t="s">
        <v>4453</v>
      </c>
      <c r="F50" s="94"/>
      <c r="G50" s="94"/>
      <c r="H50" s="94"/>
      <c r="I50" s="94"/>
      <c r="J50" s="94"/>
      <c r="K50" s="94"/>
      <c r="L50" s="94"/>
      <c r="M50" s="94"/>
      <c r="N50" s="94"/>
      <c r="O50" s="94"/>
      <c r="P50" s="94"/>
      <c r="Q50" s="94"/>
      <c r="R50" s="94"/>
      <c r="S50" s="94"/>
      <c r="T50" s="94"/>
    </row>
    <row r="51" spans="1:20">
      <c r="A51" s="94"/>
      <c r="B51" s="94"/>
      <c r="C51" s="94"/>
      <c r="D51" s="112">
        <v>100500</v>
      </c>
      <c r="E51" s="52" t="s">
        <v>4457</v>
      </c>
      <c r="F51" s="94"/>
      <c r="G51" s="94"/>
      <c r="H51" s="94"/>
      <c r="I51" s="94"/>
      <c r="J51" s="94"/>
      <c r="K51" s="94"/>
      <c r="L51" s="94"/>
      <c r="M51" s="94"/>
      <c r="N51" s="94"/>
      <c r="O51" s="94"/>
      <c r="P51" s="94"/>
      <c r="Q51" s="94"/>
      <c r="R51" s="94"/>
      <c r="S51" s="94"/>
      <c r="T51" s="94"/>
    </row>
    <row r="52" spans="1:20">
      <c r="A52" s="94"/>
      <c r="B52" s="94"/>
      <c r="C52" s="94"/>
      <c r="D52" s="112">
        <v>68670</v>
      </c>
      <c r="E52" s="52" t="s">
        <v>4462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4469</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4490</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4490</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4494</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4494</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4497</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4497</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4500</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4503</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4503</v>
      </c>
      <c r="B11" s="18">
        <v>-1287000</v>
      </c>
      <c r="C11" s="18">
        <v>0</v>
      </c>
      <c r="D11" s="111">
        <f t="shared" si="0"/>
        <v>-1287000</v>
      </c>
      <c r="E11" s="19" t="s">
        <v>4504</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4500</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4501</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4511</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4514</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4515</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4517</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4524</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4527</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4450</v>
      </c>
      <c r="B22" s="18">
        <v>-3995000</v>
      </c>
      <c r="C22" s="18">
        <v>0</v>
      </c>
      <c r="D22" s="111">
        <f t="shared" si="0"/>
        <v>-3995000</v>
      </c>
      <c r="E22" s="19" t="s">
        <v>4528</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4454</v>
      </c>
      <c r="B23" s="18">
        <v>-2010700</v>
      </c>
      <c r="C23" s="18">
        <v>0</v>
      </c>
      <c r="D23" s="111">
        <f t="shared" si="0"/>
        <v>-2010700</v>
      </c>
      <c r="E23" s="19" t="s">
        <v>4537</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4536</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4540</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4544</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4548</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4548</v>
      </c>
      <c r="B29" s="18">
        <v>-77315</v>
      </c>
      <c r="C29" s="18">
        <v>0</v>
      </c>
      <c r="D29" s="111">
        <f t="shared" si="0"/>
        <v>-77315</v>
      </c>
      <c r="E29" s="19" t="s">
        <v>4550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4552</v>
      </c>
      <c r="B30" s="18">
        <v>-66850</v>
      </c>
      <c r="C30" s="18">
        <v>0</v>
      </c>
      <c r="D30" s="111">
        <f t="shared" si="0"/>
        <v>-66850</v>
      </c>
      <c r="E30" s="19" t="s">
        <v>4555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4552</v>
      </c>
      <c r="B31" s="166">
        <v>-30000</v>
      </c>
      <c r="C31" s="166">
        <v>0</v>
      </c>
      <c r="D31" s="166">
        <f>B31-C31</f>
        <v>-30000</v>
      </c>
      <c r="E31" s="166" t="s">
        <v>4554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4492</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4496</v>
      </c>
      <c r="F40" s="94"/>
      <c r="G40" s="94"/>
      <c r="H40" s="94"/>
      <c r="I40" s="94"/>
      <c r="J40" s="94"/>
      <c r="K40" s="94"/>
      <c r="L40" s="94"/>
      <c r="M40" s="94"/>
      <c r="N40" s="94"/>
      <c r="O40" s="94"/>
      <c r="P40" s="94"/>
      <c r="Q40" s="94"/>
      <c r="R40" s="94"/>
      <c r="S40" s="94"/>
    </row>
    <row r="41" spans="1:19" ht="24.75" customHeight="1">
      <c r="A41" s="94"/>
      <c r="B41" s="94"/>
      <c r="C41" s="94"/>
      <c r="D41" s="18">
        <v>3576</v>
      </c>
      <c r="E41" s="120" t="s">
        <v>4498</v>
      </c>
      <c r="F41" s="94"/>
      <c r="G41" s="94"/>
      <c r="H41" s="94"/>
      <c r="I41" s="94"/>
      <c r="J41" s="94"/>
      <c r="K41" s="94"/>
      <c r="L41" s="94"/>
      <c r="M41" s="94"/>
      <c r="N41" s="94"/>
      <c r="O41" s="94"/>
      <c r="P41" s="94"/>
      <c r="Q41" s="94"/>
      <c r="R41" s="94"/>
      <c r="S41" s="94"/>
    </row>
    <row r="42" spans="1:19" ht="30.75" customHeight="1">
      <c r="A42" s="94"/>
      <c r="B42" s="94"/>
      <c r="C42" s="94"/>
      <c r="D42" s="18">
        <v>-400000</v>
      </c>
      <c r="E42" s="120" t="s">
        <v>4499</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4505</v>
      </c>
      <c r="F44" s="94"/>
      <c r="G44" s="94"/>
      <c r="H44" s="94"/>
      <c r="I44" s="94"/>
      <c r="J44" s="94"/>
      <c r="K44" s="94"/>
      <c r="L44" s="94"/>
      <c r="M44" s="94"/>
      <c r="N44" s="94"/>
      <c r="O44" s="94"/>
      <c r="P44" s="94"/>
      <c r="Q44" s="94"/>
      <c r="R44" s="94"/>
      <c r="S44" s="94"/>
    </row>
    <row r="45" spans="1:19" ht="24.75" customHeight="1">
      <c r="A45" s="94"/>
      <c r="B45" s="94"/>
      <c r="C45" s="94"/>
      <c r="D45" s="18">
        <v>-200000</v>
      </c>
      <c r="E45" s="120" t="s">
        <v>4512</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4538</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4545</v>
      </c>
      <c r="F47" s="94" t="s">
        <v>25</v>
      </c>
      <c r="G47" s="94"/>
      <c r="H47" s="94"/>
      <c r="I47" s="94"/>
      <c r="J47" s="94"/>
      <c r="K47" s="94"/>
      <c r="L47" s="94"/>
      <c r="M47" s="94"/>
      <c r="N47" s="94"/>
      <c r="O47" s="94"/>
      <c r="P47" s="94"/>
      <c r="Q47" s="94"/>
      <c r="R47" s="94"/>
      <c r="S47" s="94"/>
    </row>
    <row r="48" spans="1:19">
      <c r="A48" s="94"/>
      <c r="B48" s="94"/>
      <c r="C48" s="94"/>
      <c r="D48" s="18">
        <v>49315</v>
      </c>
      <c r="E48" s="120" t="s">
        <v>4551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4558</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4569</v>
      </c>
      <c r="B5" s="18">
        <v>-200000</v>
      </c>
      <c r="C5" s="18">
        <v>0</v>
      </c>
      <c r="D5" s="111">
        <f t="shared" si="0"/>
        <v>-200000</v>
      </c>
      <c r="E5" s="20" t="s">
        <v>4566</v>
      </c>
      <c r="F5" s="94">
        <v>28</v>
      </c>
      <c r="G5" s="94">
        <f t="shared" si="1"/>
        <v>-5600000</v>
      </c>
      <c r="H5" s="94">
        <f t="shared" si="2"/>
        <v>0</v>
      </c>
      <c r="I5" s="94">
        <f t="shared" si="3"/>
        <v>-5600000</v>
      </c>
      <c r="J5" s="94"/>
      <c r="K5" s="94"/>
      <c r="L5" s="94"/>
      <c r="M5" s="94"/>
      <c r="N5" s="94"/>
      <c r="O5" s="94">
        <v>1</v>
      </c>
      <c r="P5" s="94">
        <v>29</v>
      </c>
      <c r="Q5" s="94">
        <v>30</v>
      </c>
      <c r="R5" s="94"/>
      <c r="S5" s="94"/>
    </row>
    <row r="6" spans="1:19">
      <c r="A6" s="17" t="s">
        <v>4579</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4581</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4581</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4581</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4581</v>
      </c>
      <c r="B10" s="18">
        <v>-51400</v>
      </c>
      <c r="C10" s="18">
        <v>0</v>
      </c>
      <c r="D10" s="111">
        <f t="shared" si="0"/>
        <v>-51400</v>
      </c>
      <c r="E10" s="19" t="s">
        <v>4587</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4590</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4590</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4600</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4600</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4600</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4603</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4608</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4614</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4614</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4623</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4616</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4617</v>
      </c>
      <c r="B22" s="18">
        <v>-324747</v>
      </c>
      <c r="C22" s="18">
        <v>0</v>
      </c>
      <c r="D22" s="111">
        <f t="shared" si="0"/>
        <v>-324747</v>
      </c>
      <c r="E22" s="19" t="s">
        <v>4624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4631</v>
      </c>
      <c r="B23" s="18">
        <v>-297992</v>
      </c>
      <c r="C23" s="18">
        <v>0</v>
      </c>
      <c r="D23" s="111">
        <f t="shared" si="0"/>
        <v>-297992</v>
      </c>
      <c r="E23" s="19" t="s">
        <v>4632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4639</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4562</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4563</v>
      </c>
      <c r="F40" s="94"/>
      <c r="G40" s="94"/>
      <c r="H40" s="94"/>
      <c r="I40" s="94"/>
      <c r="J40" s="94"/>
      <c r="K40" s="94"/>
      <c r="L40" s="94"/>
      <c r="M40" s="94"/>
      <c r="N40" s="94"/>
      <c r="O40" s="94"/>
      <c r="P40" s="94"/>
      <c r="Q40" s="94"/>
      <c r="R40" s="94"/>
      <c r="S40" s="94"/>
    </row>
    <row r="41" spans="1:19">
      <c r="A41" s="94"/>
      <c r="B41" s="94"/>
      <c r="C41" s="94"/>
      <c r="D41" s="18">
        <v>47848</v>
      </c>
      <c r="E41" s="120" t="s">
        <v>4567</v>
      </c>
      <c r="F41" s="94"/>
      <c r="G41" s="94"/>
      <c r="H41" s="94"/>
      <c r="I41" s="94"/>
      <c r="J41" s="94"/>
      <c r="K41" s="94"/>
      <c r="L41" s="94"/>
      <c r="M41" s="94"/>
      <c r="N41" s="94"/>
      <c r="O41" s="94"/>
      <c r="P41" s="94"/>
      <c r="Q41" s="94"/>
      <c r="R41" s="94"/>
      <c r="S41" s="94"/>
    </row>
    <row r="42" spans="1:19">
      <c r="A42" s="94"/>
      <c r="B42" s="94"/>
      <c r="C42" s="94"/>
      <c r="D42" s="18">
        <v>200000</v>
      </c>
      <c r="E42" s="120" t="s">
        <v>4568</v>
      </c>
      <c r="F42" s="94"/>
      <c r="G42" s="94"/>
      <c r="H42" s="94"/>
      <c r="I42" s="94"/>
      <c r="J42" s="94"/>
      <c r="K42" s="94"/>
      <c r="L42" s="94"/>
      <c r="M42" s="94"/>
      <c r="N42" s="94"/>
      <c r="O42" s="94"/>
      <c r="P42" s="94"/>
      <c r="Q42" s="94"/>
      <c r="R42" s="94"/>
      <c r="S42" s="94"/>
    </row>
    <row r="43" spans="1:19">
      <c r="A43" s="94"/>
      <c r="B43" s="94"/>
      <c r="C43" s="94"/>
      <c r="D43" s="18">
        <v>60460</v>
      </c>
      <c r="E43" s="120" t="s">
        <v>4583</v>
      </c>
      <c r="F43" s="94"/>
      <c r="G43" s="94"/>
      <c r="H43" s="94"/>
      <c r="I43" s="94"/>
      <c r="J43" s="94"/>
      <c r="K43" s="94"/>
      <c r="L43" s="94"/>
      <c r="M43" s="94"/>
      <c r="N43" s="94"/>
      <c r="O43" s="94"/>
      <c r="P43" s="94"/>
      <c r="Q43" s="94"/>
      <c r="R43" s="94"/>
      <c r="S43" s="94"/>
    </row>
    <row r="44" spans="1:19">
      <c r="A44" s="94"/>
      <c r="B44" s="94"/>
      <c r="C44" s="94"/>
      <c r="D44" s="18">
        <v>-2400000</v>
      </c>
      <c r="E44" s="120" t="s">
        <v>4584</v>
      </c>
      <c r="F44" s="94"/>
      <c r="G44" s="94"/>
      <c r="H44" s="94"/>
      <c r="I44" s="94"/>
      <c r="J44" s="94"/>
      <c r="K44" s="94"/>
      <c r="L44" s="94"/>
      <c r="M44" s="94"/>
      <c r="N44" s="94"/>
      <c r="O44" s="94"/>
      <c r="P44" s="94"/>
      <c r="Q44" s="94"/>
      <c r="R44" s="94"/>
      <c r="S44" s="94"/>
    </row>
    <row r="45" spans="1:19">
      <c r="A45" s="94"/>
      <c r="B45" s="94"/>
      <c r="C45" s="94"/>
      <c r="D45" s="18">
        <v>135487</v>
      </c>
      <c r="E45" s="120" t="s">
        <v>4585</v>
      </c>
      <c r="F45" s="94"/>
      <c r="G45" s="94" t="s">
        <v>25</v>
      </c>
      <c r="H45" s="94"/>
      <c r="I45" s="94"/>
      <c r="J45" s="94"/>
      <c r="K45" s="94"/>
      <c r="L45" s="94"/>
      <c r="M45" s="94"/>
      <c r="N45" s="94"/>
      <c r="O45" s="94"/>
      <c r="P45" s="94"/>
      <c r="Q45" s="94"/>
      <c r="R45" s="94"/>
      <c r="S45" s="94"/>
    </row>
    <row r="46" spans="1:19">
      <c r="A46" s="94"/>
      <c r="B46" s="94"/>
      <c r="C46" s="94"/>
      <c r="D46" s="18">
        <v>347153</v>
      </c>
      <c r="E46" s="120" t="s">
        <v>4586</v>
      </c>
      <c r="F46" s="94"/>
      <c r="G46" s="94" t="s">
        <v>25</v>
      </c>
      <c r="H46" s="94"/>
      <c r="I46" s="94"/>
      <c r="J46" s="94"/>
      <c r="K46" s="94"/>
      <c r="L46" s="94"/>
      <c r="M46" s="94"/>
      <c r="N46" s="94"/>
      <c r="O46" s="94"/>
      <c r="P46" s="94"/>
      <c r="Q46" s="94"/>
      <c r="R46" s="94"/>
      <c r="S46" s="94"/>
    </row>
    <row r="47" spans="1:19">
      <c r="A47" s="94"/>
      <c r="B47" s="94"/>
      <c r="C47" s="94"/>
      <c r="D47" s="18">
        <v>51400</v>
      </c>
      <c r="E47" s="120" t="s">
        <v>4587</v>
      </c>
      <c r="F47" s="94" t="s">
        <v>25</v>
      </c>
      <c r="G47" s="94"/>
      <c r="H47" s="94"/>
      <c r="I47" s="94"/>
      <c r="J47" s="94"/>
      <c r="K47" s="94"/>
      <c r="L47" s="94"/>
      <c r="M47" s="94"/>
      <c r="N47" s="94"/>
      <c r="O47" s="94"/>
      <c r="P47" s="94"/>
      <c r="Q47" s="94"/>
      <c r="R47" s="94"/>
      <c r="S47" s="94"/>
    </row>
    <row r="48" spans="1:19">
      <c r="A48" s="94"/>
      <c r="B48" s="94"/>
      <c r="C48" s="94"/>
      <c r="D48" s="18">
        <v>-200000</v>
      </c>
      <c r="E48" s="120" t="s">
        <v>4591</v>
      </c>
      <c r="F48" s="94"/>
      <c r="G48" s="94"/>
      <c r="H48" s="94"/>
      <c r="I48" s="94"/>
      <c r="J48" s="94"/>
      <c r="K48" s="94"/>
      <c r="L48" s="94"/>
      <c r="M48" s="94"/>
      <c r="N48" s="94"/>
      <c r="O48" s="94"/>
      <c r="P48" s="94"/>
      <c r="Q48" s="94"/>
      <c r="R48" s="94"/>
      <c r="S48" s="94"/>
    </row>
    <row r="49" spans="1:19">
      <c r="A49" s="94"/>
      <c r="B49" s="94"/>
      <c r="C49" s="94"/>
      <c r="D49" s="18">
        <v>-400000</v>
      </c>
      <c r="E49" s="120" t="s">
        <v>4597</v>
      </c>
      <c r="F49" s="94"/>
      <c r="G49" s="94"/>
      <c r="H49" s="94" t="s">
        <v>25</v>
      </c>
      <c r="I49" s="94"/>
      <c r="J49" s="94"/>
      <c r="K49" s="94"/>
      <c r="L49" s="94"/>
      <c r="M49" s="94"/>
      <c r="N49" s="94"/>
      <c r="O49" s="94"/>
      <c r="P49" s="94"/>
      <c r="Q49" s="94"/>
      <c r="R49" s="94"/>
      <c r="S49" s="94"/>
    </row>
    <row r="50" spans="1:19">
      <c r="A50" s="94"/>
      <c r="B50" s="94"/>
      <c r="C50" s="94"/>
      <c r="D50" s="18">
        <v>-200000</v>
      </c>
      <c r="E50" s="120" t="s">
        <v>4598</v>
      </c>
      <c r="F50" s="94"/>
      <c r="G50" s="94"/>
      <c r="H50" s="94"/>
      <c r="I50" s="94"/>
      <c r="J50" s="94"/>
      <c r="K50" s="94"/>
      <c r="L50" s="94"/>
      <c r="M50" s="94"/>
      <c r="N50" s="94"/>
      <c r="O50" s="94"/>
      <c r="P50" s="94"/>
      <c r="Q50" s="94"/>
      <c r="R50" s="94"/>
      <c r="S50" s="94"/>
    </row>
    <row r="51" spans="1:19">
      <c r="A51" s="94"/>
      <c r="B51" s="94"/>
      <c r="C51" s="94"/>
      <c r="D51" s="18">
        <v>276773</v>
      </c>
      <c r="E51" s="120" t="s">
        <v>4601</v>
      </c>
      <c r="F51" s="94"/>
      <c r="G51" s="94"/>
      <c r="H51" s="94"/>
      <c r="I51" s="94"/>
      <c r="J51" s="94"/>
      <c r="K51" s="94"/>
      <c r="L51" s="94"/>
      <c r="M51" s="94"/>
      <c r="N51" s="94"/>
      <c r="O51" s="94"/>
      <c r="P51" s="94"/>
      <c r="Q51" s="94"/>
      <c r="R51" s="94"/>
      <c r="S51" s="94"/>
    </row>
    <row r="52" spans="1:19">
      <c r="A52" s="94"/>
      <c r="B52" s="94"/>
      <c r="C52" s="94"/>
      <c r="D52" s="18">
        <v>114710</v>
      </c>
      <c r="E52" s="120" t="s">
        <v>4604</v>
      </c>
      <c r="F52" s="112" t="s">
        <v>25</v>
      </c>
      <c r="G52" s="41" t="s">
        <v>25</v>
      </c>
      <c r="H52" s="94"/>
      <c r="I52" s="94"/>
      <c r="J52" s="94"/>
      <c r="K52" s="94"/>
      <c r="L52" s="94"/>
      <c r="M52" s="94"/>
      <c r="N52" s="94"/>
      <c r="O52" s="94"/>
      <c r="P52" s="94"/>
      <c r="Q52" s="94"/>
      <c r="R52" s="94"/>
      <c r="S52" s="94"/>
    </row>
    <row r="53" spans="1:19">
      <c r="A53" s="94"/>
      <c r="B53" s="94"/>
      <c r="C53" s="94"/>
      <c r="D53" s="18">
        <v>55120</v>
      </c>
      <c r="E53" s="120" t="s">
        <v>4615</v>
      </c>
      <c r="F53" s="112"/>
      <c r="G53" s="41"/>
      <c r="H53" s="94"/>
      <c r="I53" s="94"/>
      <c r="J53" s="94"/>
      <c r="K53" s="94"/>
      <c r="L53" s="94"/>
      <c r="M53" s="94"/>
      <c r="N53" s="94"/>
      <c r="O53" s="94"/>
      <c r="P53" s="94"/>
      <c r="Q53" s="94"/>
      <c r="R53" s="94"/>
      <c r="S53" s="94"/>
    </row>
    <row r="54" spans="1:19">
      <c r="A54" s="94"/>
      <c r="B54" s="94"/>
      <c r="C54" s="94"/>
      <c r="D54" s="18">
        <v>115000</v>
      </c>
      <c r="E54" s="120" t="s">
        <v>4620</v>
      </c>
      <c r="F54" s="112"/>
      <c r="G54" s="41"/>
      <c r="H54" s="94"/>
      <c r="I54" s="94"/>
      <c r="J54" s="94"/>
      <c r="K54" s="94"/>
      <c r="L54" s="94"/>
      <c r="M54" s="94"/>
      <c r="N54" s="94"/>
      <c r="O54" s="94"/>
      <c r="P54" s="94"/>
      <c r="Q54" s="94"/>
      <c r="R54" s="94"/>
      <c r="S54" s="94"/>
    </row>
    <row r="55" spans="1:19">
      <c r="A55" s="94"/>
      <c r="B55" s="94"/>
      <c r="C55" s="94"/>
      <c r="D55" s="18">
        <v>247560</v>
      </c>
      <c r="E55" s="120" t="s">
        <v>4621</v>
      </c>
      <c r="F55" s="112"/>
      <c r="G55" s="41"/>
      <c r="H55" s="94"/>
      <c r="I55" s="94"/>
      <c r="J55" s="94"/>
      <c r="K55" s="94"/>
      <c r="L55" s="94"/>
      <c r="M55" s="94"/>
      <c r="N55" s="94"/>
      <c r="O55" s="94"/>
      <c r="P55" s="94"/>
      <c r="Q55" s="94"/>
      <c r="R55" s="94"/>
      <c r="S55" s="94"/>
    </row>
    <row r="56" spans="1:19">
      <c r="A56" s="94"/>
      <c r="B56" s="94"/>
      <c r="C56" s="94"/>
      <c r="D56" s="18">
        <v>77187</v>
      </c>
      <c r="E56" s="120" t="s">
        <v>4622</v>
      </c>
      <c r="F56" s="94"/>
      <c r="G56" s="94"/>
      <c r="H56" s="94" t="s">
        <v>25</v>
      </c>
      <c r="I56" s="94"/>
      <c r="J56" s="94"/>
      <c r="K56" s="94"/>
      <c r="L56" s="94"/>
      <c r="M56" s="94"/>
      <c r="N56" s="94"/>
      <c r="O56" s="94"/>
      <c r="P56" s="94"/>
      <c r="Q56" s="94"/>
      <c r="R56" s="94"/>
      <c r="S56" s="94"/>
    </row>
    <row r="57" spans="1:19">
      <c r="A57" s="94"/>
      <c r="B57" s="94"/>
      <c r="C57" s="94"/>
      <c r="D57" s="18">
        <v>-140000</v>
      </c>
      <c r="E57" s="120" t="s">
        <v>4625</v>
      </c>
      <c r="F57" s="94"/>
      <c r="G57" s="94"/>
      <c r="H57" s="94"/>
      <c r="I57" s="94"/>
      <c r="J57" s="94"/>
      <c r="K57" s="94"/>
      <c r="L57" s="94"/>
      <c r="M57" s="94"/>
      <c r="N57" s="94"/>
      <c r="O57" s="94"/>
      <c r="P57" s="94"/>
      <c r="Q57" s="94"/>
      <c r="R57" s="94"/>
      <c r="S57" s="94"/>
    </row>
    <row r="58" spans="1:19">
      <c r="A58" s="94"/>
      <c r="B58" s="94"/>
      <c r="C58" s="94"/>
      <c r="D58" s="18">
        <v>-1600000</v>
      </c>
      <c r="E58" s="120" t="s">
        <v>4626</v>
      </c>
      <c r="F58" s="94"/>
      <c r="G58" s="94"/>
      <c r="H58" s="94"/>
      <c r="I58" s="94"/>
      <c r="J58" s="94"/>
      <c r="K58" s="94"/>
      <c r="L58" s="94"/>
      <c r="M58" s="94"/>
      <c r="N58" s="94"/>
      <c r="O58" s="94"/>
      <c r="P58" s="94"/>
      <c r="Q58" s="94"/>
      <c r="R58" s="94"/>
      <c r="S58" s="94"/>
    </row>
    <row r="59" spans="1:19">
      <c r="A59" s="94"/>
      <c r="B59" s="94"/>
      <c r="C59" s="94"/>
      <c r="D59" s="18">
        <v>-2000</v>
      </c>
      <c r="E59" s="120" t="s">
        <v>4633</v>
      </c>
      <c r="F59" s="94"/>
      <c r="G59" s="94"/>
      <c r="H59" s="94"/>
      <c r="I59" s="94"/>
      <c r="J59" s="94"/>
      <c r="K59" s="94"/>
      <c r="L59" s="94"/>
      <c r="M59" s="94"/>
      <c r="N59" s="94"/>
      <c r="O59" s="94"/>
      <c r="P59" s="94"/>
      <c r="Q59" s="94"/>
      <c r="R59" s="94"/>
      <c r="S59" s="94"/>
    </row>
    <row r="60" spans="1:19">
      <c r="A60" s="94"/>
      <c r="B60" s="94"/>
      <c r="C60" s="94"/>
      <c r="D60" s="18">
        <v>40000</v>
      </c>
      <c r="E60" s="120" t="s">
        <v>4643</v>
      </c>
      <c r="F60" s="94"/>
      <c r="G60" s="94"/>
      <c r="H60" s="94"/>
      <c r="I60" s="94"/>
      <c r="J60" s="94"/>
      <c r="K60" s="94"/>
      <c r="L60" s="94"/>
      <c r="M60" s="94"/>
      <c r="N60" s="94"/>
      <c r="O60" s="94"/>
      <c r="P60" s="94"/>
      <c r="Q60" s="94"/>
      <c r="R60" s="94"/>
      <c r="S60" s="94"/>
    </row>
    <row r="61" spans="1:19">
      <c r="A61" s="94"/>
      <c r="B61" s="94"/>
      <c r="C61" s="94"/>
      <c r="D61" s="18">
        <v>-146877</v>
      </c>
      <c r="E61" s="120" t="s">
        <v>4644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4642</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4650</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4667</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4673</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4673</v>
      </c>
      <c r="B6" s="18">
        <v>-1866154</v>
      </c>
      <c r="C6" s="18">
        <v>0</v>
      </c>
      <c r="D6" s="111">
        <f t="shared" si="0"/>
        <v>-1866154</v>
      </c>
      <c r="E6" s="19" t="s">
        <v>4679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4673</v>
      </c>
      <c r="B7" s="18">
        <v>-36600</v>
      </c>
      <c r="C7" s="18">
        <v>0</v>
      </c>
      <c r="D7" s="111">
        <f t="shared" si="0"/>
        <v>-36600</v>
      </c>
      <c r="E7" s="19" t="s">
        <v>4680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4681</v>
      </c>
      <c r="B8" s="18">
        <v>-492000</v>
      </c>
      <c r="C8" s="18">
        <v>0</v>
      </c>
      <c r="D8" s="111">
        <f t="shared" si="0"/>
        <v>-492000</v>
      </c>
      <c r="E8" s="19" t="s">
        <v>4682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4681</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4681</v>
      </c>
      <c r="B10" s="18">
        <v>-40000</v>
      </c>
      <c r="C10" s="18">
        <v>0</v>
      </c>
      <c r="D10" s="111">
        <f t="shared" si="0"/>
        <v>-40000</v>
      </c>
      <c r="E10" s="19" t="s">
        <v>4684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4685</v>
      </c>
      <c r="B11" s="18">
        <v>-66000</v>
      </c>
      <c r="C11" s="18">
        <v>0</v>
      </c>
      <c r="D11" s="111">
        <f t="shared" si="0"/>
        <v>-66000</v>
      </c>
      <c r="E11" s="19" t="s">
        <v>4684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4686</v>
      </c>
      <c r="B13" s="18">
        <v>-200500</v>
      </c>
      <c r="C13" s="18">
        <v>0</v>
      </c>
      <c r="D13" s="111">
        <f t="shared" si="0"/>
        <v>-200500</v>
      </c>
      <c r="E13" s="20" t="s">
        <v>4687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4691</v>
      </c>
      <c r="B14" s="18">
        <v>1563000</v>
      </c>
      <c r="C14" s="18">
        <v>0</v>
      </c>
      <c r="D14" s="111">
        <f t="shared" si="0"/>
        <v>1563000</v>
      </c>
      <c r="E14" s="20" t="s">
        <v>4693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4691</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4700</v>
      </c>
      <c r="B16" s="18">
        <v>-20000</v>
      </c>
      <c r="C16" s="18">
        <v>0</v>
      </c>
      <c r="D16" s="111">
        <f t="shared" si="0"/>
        <v>-20000</v>
      </c>
      <c r="E16" s="20" t="s">
        <v>4703</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4712</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4716</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4721</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4726</v>
      </c>
      <c r="B20" s="18">
        <v>400000</v>
      </c>
      <c r="C20" s="18">
        <v>0</v>
      </c>
      <c r="D20" s="111">
        <f t="shared" si="0"/>
        <v>400000</v>
      </c>
      <c r="E20" s="19" t="s">
        <v>4727</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4729</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4729</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4729</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4731</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4731</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4732</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4732</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4737</v>
      </c>
      <c r="B28" s="18">
        <v>433375</v>
      </c>
      <c r="C28" s="18">
        <v>0</v>
      </c>
      <c r="D28" s="111">
        <f t="shared" si="0"/>
        <v>433375</v>
      </c>
      <c r="E28" s="19" t="s">
        <v>4740</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4746</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4746</v>
      </c>
      <c r="B30" s="18">
        <v>-300000</v>
      </c>
      <c r="C30" s="18">
        <v>0</v>
      </c>
      <c r="D30" s="111">
        <f t="shared" si="0"/>
        <v>-300000</v>
      </c>
      <c r="E30" s="19" t="s">
        <v>4748</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4746</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4750</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4648</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4649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4659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4679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4689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4699</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4701</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4702</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4704</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4705</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4713</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4715</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4720</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4722</v>
      </c>
      <c r="F68" s="94"/>
      <c r="G68" s="94"/>
      <c r="H68" s="94"/>
      <c r="I68" s="94"/>
    </row>
    <row r="69" spans="1:22">
      <c r="A69" s="94"/>
      <c r="B69" s="94"/>
      <c r="C69" s="94"/>
      <c r="D69" s="18">
        <v>-67844</v>
      </c>
      <c r="E69" s="120" t="s">
        <v>4724</v>
      </c>
      <c r="F69" s="94"/>
      <c r="G69" s="94"/>
      <c r="H69" s="94"/>
      <c r="I69" s="94"/>
    </row>
    <row r="70" spans="1:22">
      <c r="D70" s="18">
        <v>-400000</v>
      </c>
      <c r="E70" s="120" t="s">
        <v>4728</v>
      </c>
      <c r="G70" t="s">
        <v>25</v>
      </c>
    </row>
    <row r="71" spans="1:22">
      <c r="D71" s="18">
        <v>463200</v>
      </c>
      <c r="E71" s="120" t="s">
        <v>4730</v>
      </c>
    </row>
    <row r="72" spans="1:22">
      <c r="D72" s="18">
        <v>2000000</v>
      </c>
      <c r="E72" s="94" t="s">
        <v>4733</v>
      </c>
    </row>
    <row r="73" spans="1:22">
      <c r="D73" s="18">
        <v>-280000</v>
      </c>
      <c r="E73" t="s">
        <v>4734</v>
      </c>
    </row>
    <row r="74" spans="1:22">
      <c r="D74" s="18">
        <v>-200000</v>
      </c>
      <c r="E74" s="94" t="s">
        <v>4741</v>
      </c>
    </row>
    <row r="75" spans="1:22">
      <c r="D75" s="18">
        <v>-2000000</v>
      </c>
      <c r="E75" s="94" t="s">
        <v>4747</v>
      </c>
    </row>
    <row r="76" spans="1:22">
      <c r="D76" s="18">
        <v>92800</v>
      </c>
      <c r="E76" s="94" t="s">
        <v>4749</v>
      </c>
    </row>
    <row r="77" spans="1:22">
      <c r="D77" s="18">
        <v>1417727</v>
      </c>
      <c r="E77" s="94" t="s">
        <v>4750</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C5" sqref="C5"/>
    </sheetView>
  </sheetViews>
  <sheetFormatPr defaultRowHeight="15"/>
  <cols>
    <col min="1" max="1" width="20.14062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9" bestFit="1" customWidth="1"/>
    <col min="12" max="12" width="18.85546875" bestFit="1" customWidth="1"/>
    <col min="13" max="13" width="15.42578125" bestFit="1" customWidth="1"/>
  </cols>
  <sheetData>
    <row r="1" spans="1:13" ht="15.75">
      <c r="A1" s="176" t="s">
        <v>4821</v>
      </c>
      <c r="B1" s="176" t="s">
        <v>4822</v>
      </c>
      <c r="C1" s="370" t="s">
        <v>6707</v>
      </c>
      <c r="D1" s="176" t="s">
        <v>6706</v>
      </c>
      <c r="E1" s="370" t="s">
        <v>6708</v>
      </c>
      <c r="F1" s="176" t="s">
        <v>6709</v>
      </c>
      <c r="G1" s="176" t="s">
        <v>6229</v>
      </c>
      <c r="H1" s="176" t="s">
        <v>6263</v>
      </c>
      <c r="I1" s="176" t="s">
        <v>4245</v>
      </c>
      <c r="J1" s="176" t="s">
        <v>4905</v>
      </c>
      <c r="K1" s="176" t="s">
        <v>6705</v>
      </c>
      <c r="L1" s="176" t="s">
        <v>4905</v>
      </c>
      <c r="M1" s="359" t="s">
        <v>5259</v>
      </c>
    </row>
    <row r="2" spans="1:13" ht="15.75">
      <c r="A2" s="361" t="s">
        <v>6258</v>
      </c>
      <c r="B2" s="362">
        <v>5603317363</v>
      </c>
      <c r="C2" s="362">
        <f>'سهام بنیادی'!D19</f>
        <v>175</v>
      </c>
      <c r="D2" s="362">
        <f t="shared" ref="D2:D14" si="0">B2*C2/$M$2</f>
        <v>32.686017950833332</v>
      </c>
      <c r="E2" s="369">
        <f>'سهام بنیادی'!B19</f>
        <v>95</v>
      </c>
      <c r="F2" s="361">
        <f>0.75*B2*E2/$M$2</f>
        <v>13.307878737125</v>
      </c>
      <c r="G2" s="361">
        <f>'سهام بنیادی'!C19</f>
        <v>65</v>
      </c>
      <c r="H2" s="361">
        <f>0.75*B2*G2/$M$2</f>
        <v>9.105390714875</v>
      </c>
      <c r="I2" s="361">
        <f>'سهام بنیادی'!E19</f>
        <v>1298</v>
      </c>
      <c r="J2" s="361">
        <f t="shared" ref="J2:J14" si="1">B2*I2/$M$2</f>
        <v>242.43686457246667</v>
      </c>
      <c r="K2" s="361">
        <f>I2</f>
        <v>1298</v>
      </c>
      <c r="L2" s="361">
        <f t="shared" ref="L2:L15" si="2">B2*K2/$M$2</f>
        <v>242.43686457246667</v>
      </c>
      <c r="M2" s="362">
        <v>30000000000</v>
      </c>
    </row>
    <row r="3" spans="1:13" ht="23.25">
      <c r="A3" s="363" t="s">
        <v>4216</v>
      </c>
      <c r="B3" s="364">
        <v>3356161798</v>
      </c>
      <c r="C3" s="364">
        <f>'سهام بنیادی'!D30</f>
        <v>340</v>
      </c>
      <c r="D3" s="364">
        <f t="shared" si="0"/>
        <v>38.036500377333333</v>
      </c>
      <c r="E3" s="367">
        <f>'سهام بنیادی'!B30</f>
        <v>224</v>
      </c>
      <c r="F3" s="363">
        <f t="shared" ref="F3:F14" si="3">B3*E3/$M$2</f>
        <v>25.059341425066666</v>
      </c>
      <c r="G3" s="363">
        <f>'سهام بنیادی'!C30</f>
        <v>193</v>
      </c>
      <c r="H3" s="363">
        <f t="shared" ref="H3:H14" si="4">B3*G3/$M$2</f>
        <v>21.591307567133335</v>
      </c>
      <c r="I3" s="363">
        <f>'سهام بنیادی'!E30</f>
        <v>1328</v>
      </c>
      <c r="J3" s="363">
        <f t="shared" si="1"/>
        <v>148.56609559146668</v>
      </c>
      <c r="K3" s="375">
        <v>3300</v>
      </c>
      <c r="L3" s="368">
        <f t="shared" si="2"/>
        <v>369.17779777999999</v>
      </c>
      <c r="M3" s="94"/>
    </row>
    <row r="4" spans="1:13" ht="15.75">
      <c r="A4" s="361" t="s">
        <v>4508</v>
      </c>
      <c r="B4" s="362">
        <v>4007657980</v>
      </c>
      <c r="C4" s="362">
        <f>'سهام بنیادی'!D21</f>
        <v>140</v>
      </c>
      <c r="D4" s="362">
        <f t="shared" si="0"/>
        <v>18.702403906666667</v>
      </c>
      <c r="E4" s="369">
        <f>'سهام بنیادی'!B21</f>
        <v>65</v>
      </c>
      <c r="F4" s="361">
        <f t="shared" si="3"/>
        <v>8.6832589566666663</v>
      </c>
      <c r="G4" s="361">
        <f>'سهام بنیادی'!C21</f>
        <v>14</v>
      </c>
      <c r="H4" s="361">
        <f t="shared" si="4"/>
        <v>1.8702403906666667</v>
      </c>
      <c r="I4" s="361">
        <f>'سهام بنیادی'!E21</f>
        <v>712</v>
      </c>
      <c r="J4" s="361">
        <f t="shared" si="1"/>
        <v>95.115082725333338</v>
      </c>
      <c r="K4" s="361">
        <f t="shared" ref="K4:K14" si="5">I4</f>
        <v>712</v>
      </c>
      <c r="L4" s="361">
        <f t="shared" si="2"/>
        <v>95.115082725333338</v>
      </c>
      <c r="M4" s="94"/>
    </row>
    <row r="5" spans="1:13" ht="15.75">
      <c r="A5" s="363" t="s">
        <v>5785</v>
      </c>
      <c r="B5" s="364">
        <v>1068929995</v>
      </c>
      <c r="C5" s="364">
        <f>'سهام بنیادی'!D20</f>
        <v>210</v>
      </c>
      <c r="D5" s="364">
        <f t="shared" si="0"/>
        <v>7.4825099650000002</v>
      </c>
      <c r="E5" s="367">
        <f>'سهام بنیادی'!B20</f>
        <v>144</v>
      </c>
      <c r="F5" s="363">
        <f t="shared" si="3"/>
        <v>5.1308639759999997</v>
      </c>
      <c r="G5" s="363">
        <f>'سهام بنیادی'!C20</f>
        <v>100</v>
      </c>
      <c r="H5" s="363">
        <f>B5*G5/$M$2</f>
        <v>3.5630999833333332</v>
      </c>
      <c r="I5" s="363">
        <f>'سهام بنیادی'!E20</f>
        <v>1569</v>
      </c>
      <c r="J5" s="363">
        <f t="shared" si="1"/>
        <v>55.905038738499996</v>
      </c>
      <c r="K5" s="361">
        <f t="shared" si="5"/>
        <v>1569</v>
      </c>
      <c r="L5" s="363">
        <f t="shared" si="2"/>
        <v>55.905038738499996</v>
      </c>
      <c r="M5" s="94"/>
    </row>
    <row r="6" spans="1:13" ht="15.75">
      <c r="A6" s="361" t="s">
        <v>6260</v>
      </c>
      <c r="B6" s="362">
        <v>4161561525</v>
      </c>
      <c r="C6" s="362">
        <v>80</v>
      </c>
      <c r="D6" s="362">
        <f t="shared" si="0"/>
        <v>11.0974974</v>
      </c>
      <c r="E6" s="369">
        <v>66</v>
      </c>
      <c r="F6" s="361">
        <f t="shared" si="3"/>
        <v>9.1554353549999998</v>
      </c>
      <c r="G6" s="361">
        <v>6.6</v>
      </c>
      <c r="H6" s="361">
        <f t="shared" si="4"/>
        <v>0.91554353550000001</v>
      </c>
      <c r="I6" s="361">
        <v>332</v>
      </c>
      <c r="J6" s="361">
        <f t="shared" si="1"/>
        <v>46.054614209999997</v>
      </c>
      <c r="K6" s="361">
        <f t="shared" si="5"/>
        <v>332</v>
      </c>
      <c r="L6" s="361">
        <f t="shared" si="2"/>
        <v>46.054614209999997</v>
      </c>
      <c r="M6" s="94"/>
    </row>
    <row r="7" spans="1:13" ht="15.75">
      <c r="A7" s="363" t="s">
        <v>6259</v>
      </c>
      <c r="B7" s="364">
        <v>5610540000</v>
      </c>
      <c r="C7" s="364">
        <v>60</v>
      </c>
      <c r="D7" s="364">
        <f t="shared" si="0"/>
        <v>11.221080000000001</v>
      </c>
      <c r="E7" s="367">
        <v>58</v>
      </c>
      <c r="F7" s="363">
        <f t="shared" si="3"/>
        <v>10.847044</v>
      </c>
      <c r="G7" s="363">
        <v>15</v>
      </c>
      <c r="H7" s="363">
        <f t="shared" si="4"/>
        <v>2.8052700000000002</v>
      </c>
      <c r="I7" s="363">
        <v>216</v>
      </c>
      <c r="J7" s="363">
        <f t="shared" si="1"/>
        <v>40.395887999999999</v>
      </c>
      <c r="K7" s="361">
        <f t="shared" si="5"/>
        <v>216</v>
      </c>
      <c r="L7" s="363">
        <f t="shared" si="2"/>
        <v>40.395887999999999</v>
      </c>
      <c r="M7" s="94"/>
    </row>
    <row r="8" spans="1:13" ht="15.75">
      <c r="A8" s="361" t="s">
        <v>4519</v>
      </c>
      <c r="B8" s="362">
        <v>978026662</v>
      </c>
      <c r="C8" s="362">
        <v>140</v>
      </c>
      <c r="D8" s="362">
        <f t="shared" si="0"/>
        <v>4.5641244226666666</v>
      </c>
      <c r="E8" s="369">
        <v>50</v>
      </c>
      <c r="F8" s="361">
        <f t="shared" si="3"/>
        <v>1.6300444366666667</v>
      </c>
      <c r="G8" s="361">
        <v>50</v>
      </c>
      <c r="H8" s="361">
        <f t="shared" si="4"/>
        <v>1.6300444366666667</v>
      </c>
      <c r="I8" s="361">
        <v>648</v>
      </c>
      <c r="J8" s="361">
        <f t="shared" si="1"/>
        <v>21.125375899200002</v>
      </c>
      <c r="K8" s="361">
        <f t="shared" si="5"/>
        <v>648</v>
      </c>
      <c r="L8" s="361">
        <f t="shared" si="2"/>
        <v>21.125375899200002</v>
      </c>
      <c r="M8" s="94"/>
    </row>
    <row r="9" spans="1:13" ht="15.75">
      <c r="A9" s="361" t="s">
        <v>6261</v>
      </c>
      <c r="B9" s="362">
        <v>337500000</v>
      </c>
      <c r="C9" s="362">
        <v>280</v>
      </c>
      <c r="D9" s="362">
        <f t="shared" si="0"/>
        <v>3.15</v>
      </c>
      <c r="E9" s="369">
        <v>219.8</v>
      </c>
      <c r="F9" s="361">
        <f t="shared" si="3"/>
        <v>2.47275</v>
      </c>
      <c r="G9" s="361">
        <v>237</v>
      </c>
      <c r="H9" s="361">
        <f t="shared" si="4"/>
        <v>2.6662499999999998</v>
      </c>
      <c r="I9" s="361">
        <v>1641</v>
      </c>
      <c r="J9" s="361">
        <f t="shared" si="1"/>
        <v>18.46125</v>
      </c>
      <c r="K9" s="361">
        <f t="shared" si="5"/>
        <v>1641</v>
      </c>
      <c r="L9" s="361">
        <f t="shared" si="2"/>
        <v>18.46125</v>
      </c>
      <c r="M9" s="94"/>
    </row>
    <row r="10" spans="1:13" ht="15.75">
      <c r="A10" s="363" t="s">
        <v>5792</v>
      </c>
      <c r="B10" s="364">
        <v>35697979</v>
      </c>
      <c r="C10" s="364">
        <v>300</v>
      </c>
      <c r="D10" s="364">
        <f t="shared" si="0"/>
        <v>0.35697979000000002</v>
      </c>
      <c r="E10" s="367">
        <v>223</v>
      </c>
      <c r="F10" s="363">
        <f t="shared" si="3"/>
        <v>0.26535497723333334</v>
      </c>
      <c r="G10" s="363">
        <v>80</v>
      </c>
      <c r="H10" s="363">
        <f t="shared" si="4"/>
        <v>9.5194610666666665E-2</v>
      </c>
      <c r="I10" s="363">
        <v>1607</v>
      </c>
      <c r="J10" s="363">
        <f t="shared" si="1"/>
        <v>1.9122217417666667</v>
      </c>
      <c r="K10" s="361">
        <f t="shared" si="5"/>
        <v>1607</v>
      </c>
      <c r="L10" s="363">
        <f t="shared" si="2"/>
        <v>1.9122217417666667</v>
      </c>
      <c r="M10" s="94"/>
    </row>
    <row r="11" spans="1:13" ht="15.75">
      <c r="A11" s="361" t="s">
        <v>5936</v>
      </c>
      <c r="B11" s="362">
        <v>158220192</v>
      </c>
      <c r="C11" s="362">
        <v>800</v>
      </c>
      <c r="D11" s="362">
        <f t="shared" si="0"/>
        <v>4.2192051199999998</v>
      </c>
      <c r="E11" s="369">
        <v>578</v>
      </c>
      <c r="F11" s="361">
        <f t="shared" si="3"/>
        <v>3.0483756992000002</v>
      </c>
      <c r="G11" s="361">
        <v>300</v>
      </c>
      <c r="H11" s="361">
        <f t="shared" si="4"/>
        <v>1.5822019199999999</v>
      </c>
      <c r="I11" s="361">
        <v>1453</v>
      </c>
      <c r="J11" s="361">
        <f t="shared" si="1"/>
        <v>7.6631312991999998</v>
      </c>
      <c r="K11" s="361">
        <f t="shared" si="5"/>
        <v>1453</v>
      </c>
      <c r="L11" s="361">
        <f t="shared" si="2"/>
        <v>7.6631312991999998</v>
      </c>
      <c r="M11" s="94"/>
    </row>
    <row r="12" spans="1:13" ht="15.75">
      <c r="A12" s="363" t="s">
        <v>4371</v>
      </c>
      <c r="B12" s="364">
        <v>101805550</v>
      </c>
      <c r="C12" s="364">
        <v>800</v>
      </c>
      <c r="D12" s="364">
        <f t="shared" si="0"/>
        <v>2.7148146666666668</v>
      </c>
      <c r="E12" s="367">
        <v>424</v>
      </c>
      <c r="F12" s="363">
        <f t="shared" si="3"/>
        <v>1.4388517733333333</v>
      </c>
      <c r="G12" s="363">
        <v>370</v>
      </c>
      <c r="H12" s="363">
        <f t="shared" si="4"/>
        <v>1.2556017833333333</v>
      </c>
      <c r="I12" s="363">
        <v>4589</v>
      </c>
      <c r="J12" s="363">
        <f t="shared" si="1"/>
        <v>15.572855631666666</v>
      </c>
      <c r="K12" s="361">
        <f t="shared" si="5"/>
        <v>4589</v>
      </c>
      <c r="L12" s="363">
        <f t="shared" si="2"/>
        <v>15.572855631666666</v>
      </c>
      <c r="M12" s="94"/>
    </row>
    <row r="13" spans="1:13" ht="15.75">
      <c r="A13" s="361" t="s">
        <v>6704</v>
      </c>
      <c r="B13" s="362">
        <v>1</v>
      </c>
      <c r="C13" s="362">
        <v>1000000000000</v>
      </c>
      <c r="D13" s="362">
        <f t="shared" si="0"/>
        <v>33.333333333333336</v>
      </c>
      <c r="E13" s="362">
        <v>600000000000</v>
      </c>
      <c r="F13" s="361">
        <f t="shared" si="3"/>
        <v>20</v>
      </c>
      <c r="G13" s="362">
        <v>400000000000</v>
      </c>
      <c r="H13" s="361">
        <f t="shared" si="4"/>
        <v>13.333333333333334</v>
      </c>
      <c r="I13" s="361">
        <v>6000000000000</v>
      </c>
      <c r="J13" s="361">
        <f t="shared" si="1"/>
        <v>200</v>
      </c>
      <c r="K13" s="361">
        <f t="shared" si="5"/>
        <v>6000000000000</v>
      </c>
      <c r="L13" s="361">
        <f t="shared" si="2"/>
        <v>200</v>
      </c>
      <c r="M13" s="94"/>
    </row>
    <row r="14" spans="1:13" ht="15.75">
      <c r="A14" s="363" t="s">
        <v>6262</v>
      </c>
      <c r="B14" s="364">
        <v>1</v>
      </c>
      <c r="C14" s="364">
        <v>750000000000</v>
      </c>
      <c r="D14" s="364">
        <f t="shared" si="0"/>
        <v>25</v>
      </c>
      <c r="E14" s="364">
        <v>500000000000</v>
      </c>
      <c r="F14" s="363">
        <f t="shared" si="3"/>
        <v>16.666666666666668</v>
      </c>
      <c r="G14" s="364">
        <v>300000000000</v>
      </c>
      <c r="H14" s="363">
        <f t="shared" si="4"/>
        <v>10</v>
      </c>
      <c r="I14" s="363">
        <v>4000000000000</v>
      </c>
      <c r="J14" s="363">
        <f t="shared" si="1"/>
        <v>133.33333333333334</v>
      </c>
      <c r="K14" s="361">
        <f t="shared" si="5"/>
        <v>4000000000000</v>
      </c>
      <c r="L14" s="363">
        <f t="shared" si="2"/>
        <v>133.33333333333334</v>
      </c>
      <c r="M14" s="94"/>
    </row>
    <row r="15" spans="1:13" ht="15.75">
      <c r="A15" s="365"/>
      <c r="B15" s="358"/>
      <c r="C15" s="358"/>
      <c r="D15" s="358"/>
      <c r="E15" s="365"/>
      <c r="F15" s="365"/>
      <c r="G15" s="365"/>
      <c r="H15" s="365"/>
      <c r="I15" s="365"/>
      <c r="J15" s="365"/>
      <c r="K15" s="365"/>
      <c r="L15" s="361">
        <f t="shared" si="2"/>
        <v>0</v>
      </c>
      <c r="M15" s="94"/>
    </row>
    <row r="16" spans="1:13" ht="21">
      <c r="A16" s="365"/>
      <c r="B16" s="365"/>
      <c r="C16" s="365"/>
      <c r="D16" s="365">
        <f>SUM(D3:D15)</f>
        <v>159.87844898166668</v>
      </c>
      <c r="E16" s="365"/>
      <c r="F16" s="365">
        <f>SUM(F3:F15)</f>
        <v>104.39798726583334</v>
      </c>
      <c r="G16" s="365"/>
      <c r="H16" s="365">
        <f>SUM(H3:H15)</f>
        <v>61.308087560633339</v>
      </c>
      <c r="I16" s="366" t="s">
        <v>4432</v>
      </c>
      <c r="J16" s="366">
        <f>SUM(J2:J14)</f>
        <v>1026.5417517429332</v>
      </c>
      <c r="K16" s="366" t="s">
        <v>4432</v>
      </c>
      <c r="L16" s="371">
        <f>SUM(L2:L14)</f>
        <v>1247.1534539314664</v>
      </c>
      <c r="M16" s="94"/>
    </row>
    <row r="17" spans="1:13" ht="21">
      <c r="A17" s="365"/>
      <c r="B17" s="365"/>
      <c r="C17" s="365"/>
      <c r="D17" s="365" t="s">
        <v>6</v>
      </c>
      <c r="E17" s="365"/>
      <c r="F17" s="365" t="s">
        <v>6</v>
      </c>
      <c r="G17" s="365"/>
      <c r="H17" s="365" t="s">
        <v>6</v>
      </c>
      <c r="I17" s="366" t="s">
        <v>5007</v>
      </c>
      <c r="J17" s="366">
        <v>430</v>
      </c>
      <c r="K17" s="366"/>
      <c r="L17" s="371"/>
      <c r="M17" s="94"/>
    </row>
    <row r="18" spans="1:13" ht="21">
      <c r="A18" s="365"/>
      <c r="B18" s="365"/>
      <c r="C18" s="365"/>
      <c r="D18" s="365"/>
      <c r="E18" s="365"/>
      <c r="F18" s="365"/>
      <c r="G18" s="365"/>
      <c r="H18" s="365"/>
      <c r="I18" s="366" t="s">
        <v>5008</v>
      </c>
      <c r="J18" s="366">
        <f>J17/J16</f>
        <v>0.41888213437974287</v>
      </c>
      <c r="K18" s="366" t="s">
        <v>5008</v>
      </c>
      <c r="L18" s="371">
        <f>J17/L16</f>
        <v>0.34478515746758248</v>
      </c>
      <c r="M18" s="94"/>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1847</v>
      </c>
      <c r="C5" s="97"/>
      <c r="D5" s="97"/>
      <c r="F5" s="130">
        <v>0.2</v>
      </c>
      <c r="G5" s="130">
        <v>0.46</v>
      </c>
      <c r="I5" s="97"/>
      <c r="J5" s="97"/>
      <c r="L5" s="97" t="s">
        <v>3687</v>
      </c>
      <c r="M5" s="97">
        <v>6150</v>
      </c>
      <c r="U5" s="94"/>
      <c r="V5" s="94"/>
      <c r="W5" s="94"/>
      <c r="X5" s="94"/>
      <c r="Y5" s="94"/>
      <c r="Z5" s="94"/>
    </row>
    <row r="6" spans="1:35" ht="20.25" customHeight="1">
      <c r="A6" s="97" t="s">
        <v>1098</v>
      </c>
      <c r="B6" s="97">
        <v>30400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13220188.789710609</v>
      </c>
      <c r="C8" s="97">
        <f>B2*B4*B5/(B1*B3)+B7/B6</f>
        <v>434.87463124048054</v>
      </c>
      <c r="D8" s="97" t="s">
        <v>4228</v>
      </c>
      <c r="I8" s="97" t="s">
        <v>3863</v>
      </c>
      <c r="J8" s="97" t="s">
        <v>3659</v>
      </c>
      <c r="L8" s="97"/>
      <c r="M8" s="97"/>
      <c r="U8" s="94"/>
      <c r="V8" s="94"/>
      <c r="W8" s="94"/>
      <c r="X8" s="94"/>
      <c r="Y8" s="94"/>
      <c r="Z8" s="94"/>
    </row>
    <row r="9" spans="1:35">
      <c r="A9" s="67" t="s">
        <v>4226</v>
      </c>
      <c r="B9" s="93">
        <v>14600000</v>
      </c>
      <c r="C9" s="97"/>
      <c r="D9" s="97"/>
      <c r="I9" s="97" t="s">
        <v>3669</v>
      </c>
      <c r="J9" s="97" t="s">
        <v>3670</v>
      </c>
      <c r="L9" s="97"/>
      <c r="M9" s="97"/>
      <c r="R9" s="94"/>
      <c r="S9" s="94"/>
      <c r="T9" s="94"/>
      <c r="U9" s="94"/>
      <c r="V9" s="94"/>
      <c r="W9" s="94"/>
      <c r="X9" s="94"/>
      <c r="Y9" s="94"/>
      <c r="Z9" s="94"/>
    </row>
    <row r="10" spans="1:35">
      <c r="A10" s="67" t="s">
        <v>4227</v>
      </c>
      <c r="B10" s="93">
        <f>B9-B8</f>
        <v>1379811.2102893908</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4899</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4941</v>
      </c>
      <c r="X20" s="41">
        <v>9194342556</v>
      </c>
      <c r="Y20" s="41">
        <v>200</v>
      </c>
      <c r="Z20" s="41" t="s">
        <v>4482</v>
      </c>
      <c r="AA20" t="s">
        <v>4923</v>
      </c>
      <c r="AB20" s="94"/>
      <c r="AC20" s="94"/>
      <c r="AD20" s="94"/>
      <c r="AE20" s="94"/>
      <c r="AF20" s="94"/>
      <c r="AG20" s="94"/>
      <c r="AH20" s="94"/>
      <c r="AI20" s="94"/>
    </row>
    <row r="21" spans="5:35">
      <c r="O21" s="97"/>
      <c r="P21" s="97"/>
      <c r="Q21" s="488" t="s">
        <v>1071</v>
      </c>
      <c r="R21" s="488"/>
      <c r="S21" s="488"/>
      <c r="T21" s="488"/>
      <c r="U21" s="94"/>
      <c r="V21" s="94"/>
      <c r="W21" s="41" t="s">
        <v>4940</v>
      </c>
      <c r="X21" s="41">
        <v>9035210431</v>
      </c>
      <c r="Y21" s="41">
        <v>50</v>
      </c>
      <c r="Z21" s="41" t="s">
        <v>5202</v>
      </c>
      <c r="AA21" t="s">
        <v>4958</v>
      </c>
    </row>
    <row r="22" spans="5:35">
      <c r="O22" s="97"/>
      <c r="P22" s="97"/>
      <c r="Q22" s="488"/>
      <c r="R22" s="488"/>
      <c r="S22" s="488"/>
      <c r="T22" s="488"/>
      <c r="U22" s="94"/>
      <c r="V22" s="94"/>
      <c r="W22" s="41" t="s">
        <v>5027</v>
      </c>
      <c r="X22" s="41">
        <v>9909620343</v>
      </c>
      <c r="Y22" s="41">
        <v>200</v>
      </c>
      <c r="Z22" s="41" t="s">
        <v>5203</v>
      </c>
      <c r="AA22" t="s">
        <v>5206</v>
      </c>
      <c r="AB22" s="41" t="s">
        <v>5214</v>
      </c>
    </row>
    <row r="23" spans="5:35" ht="15.75">
      <c r="O23" s="176"/>
      <c r="P23" s="97" t="s">
        <v>4067</v>
      </c>
      <c r="Q23" s="489" t="s">
        <v>1072</v>
      </c>
      <c r="R23" s="490" t="s">
        <v>1073</v>
      </c>
      <c r="S23" s="489" t="s">
        <v>1074</v>
      </c>
      <c r="T23" s="491" t="s">
        <v>1075</v>
      </c>
      <c r="W23" s="41" t="s">
        <v>5028</v>
      </c>
      <c r="X23" s="41">
        <v>9378807702</v>
      </c>
      <c r="Y23" s="41">
        <v>0</v>
      </c>
      <c r="Z23" s="41">
        <v>0</v>
      </c>
      <c r="AD23" t="s">
        <v>25</v>
      </c>
    </row>
    <row r="24" spans="5:35">
      <c r="O24" s="97"/>
      <c r="P24" s="97"/>
      <c r="Q24" s="489"/>
      <c r="R24" s="490"/>
      <c r="S24" s="489"/>
      <c r="T24" s="491"/>
      <c r="W24" s="41" t="s">
        <v>5049</v>
      </c>
      <c r="X24" s="41"/>
      <c r="Y24" s="41">
        <v>200</v>
      </c>
      <c r="Z24" s="41" t="s">
        <v>4482</v>
      </c>
      <c r="AA24" t="s">
        <v>5061</v>
      </c>
      <c r="AB24" t="s">
        <v>5109</v>
      </c>
    </row>
    <row r="25" spans="5:35">
      <c r="O25" s="171" t="s">
        <v>4122</v>
      </c>
      <c r="P25" s="171">
        <v>2182188507</v>
      </c>
      <c r="Q25" s="172" t="s">
        <v>1076</v>
      </c>
      <c r="R25" s="172" t="s">
        <v>4068</v>
      </c>
      <c r="S25" s="172" t="s">
        <v>4073</v>
      </c>
      <c r="T25" s="172" t="s">
        <v>1077</v>
      </c>
      <c r="W25" s="41" t="s">
        <v>5066</v>
      </c>
      <c r="X25" s="41">
        <v>9013075723</v>
      </c>
      <c r="Y25" s="41">
        <v>100</v>
      </c>
      <c r="Z25" s="41" t="s">
        <v>5202</v>
      </c>
      <c r="AA25" t="s">
        <v>5130</v>
      </c>
    </row>
    <row r="26" spans="5:35" ht="30">
      <c r="O26" s="171"/>
      <c r="P26" s="171">
        <v>2123095122</v>
      </c>
      <c r="Q26" s="173" t="s">
        <v>1078</v>
      </c>
      <c r="R26" s="173" t="s">
        <v>1079</v>
      </c>
      <c r="S26" s="173" t="s">
        <v>1080</v>
      </c>
      <c r="T26" s="173" t="s">
        <v>1081</v>
      </c>
      <c r="U26" s="94"/>
      <c r="V26" s="94"/>
      <c r="W26" s="41" t="s">
        <v>5204</v>
      </c>
      <c r="X26" s="41">
        <v>9214923916</v>
      </c>
      <c r="Y26" s="41">
        <v>100</v>
      </c>
      <c r="Z26" s="41" t="s">
        <v>4482</v>
      </c>
      <c r="AA26" s="202" t="s">
        <v>5198</v>
      </c>
      <c r="AB26" s="94"/>
    </row>
    <row r="27" spans="5:35" ht="30">
      <c r="O27" s="171" t="s">
        <v>4176</v>
      </c>
      <c r="P27" s="171">
        <v>2188831909</v>
      </c>
      <c r="Q27" s="97" t="s">
        <v>4070</v>
      </c>
      <c r="R27" s="97" t="s">
        <v>4071</v>
      </c>
      <c r="S27" s="97" t="s">
        <v>4072</v>
      </c>
      <c r="T27" s="174" t="s">
        <v>4074</v>
      </c>
      <c r="U27" s="94"/>
      <c r="V27" s="94"/>
      <c r="W27" s="41" t="s">
        <v>5205</v>
      </c>
      <c r="X27" s="41" t="s">
        <v>5253</v>
      </c>
      <c r="Y27" s="41">
        <v>80</v>
      </c>
      <c r="Z27" s="41" t="s">
        <v>5202</v>
      </c>
      <c r="AA27" s="202" t="s">
        <v>5198</v>
      </c>
      <c r="AB27" s="94"/>
    </row>
    <row r="28" spans="5:35" ht="60">
      <c r="E28" t="s">
        <v>25</v>
      </c>
      <c r="T28" s="22" t="s">
        <v>4061</v>
      </c>
      <c r="U28" s="94"/>
      <c r="V28" s="94"/>
      <c r="W28" s="41" t="s">
        <v>5531</v>
      </c>
      <c r="X28" s="41">
        <v>9373349244</v>
      </c>
      <c r="Y28" s="41">
        <v>300</v>
      </c>
      <c r="Z28" s="41" t="s">
        <v>5532</v>
      </c>
      <c r="AA28" s="94" t="s">
        <v>5526</v>
      </c>
      <c r="AB28" s="41" t="s">
        <v>5597</v>
      </c>
    </row>
    <row r="29" spans="5:35">
      <c r="R29" s="94"/>
      <c r="S29" s="94"/>
      <c r="T29" s="94"/>
      <c r="U29" s="94"/>
      <c r="V29" s="94"/>
      <c r="W29" s="41" t="s">
        <v>5558</v>
      </c>
      <c r="X29" s="41">
        <v>9332154549</v>
      </c>
      <c r="Y29" s="41">
        <v>260</v>
      </c>
      <c r="Z29" s="41" t="s">
        <v>5532</v>
      </c>
      <c r="AA29" s="94" t="s">
        <v>5557</v>
      </c>
      <c r="AB29" s="41" t="s">
        <v>5771</v>
      </c>
    </row>
    <row r="30" spans="5:35">
      <c r="R30" s="94"/>
      <c r="S30" s="94"/>
      <c r="T30" s="94"/>
      <c r="U30" s="94"/>
      <c r="V30" s="94"/>
      <c r="W30" s="41" t="s">
        <v>5770</v>
      </c>
      <c r="X30" s="41">
        <v>9944625742</v>
      </c>
      <c r="Y30" s="41">
        <v>120</v>
      </c>
      <c r="Z30" s="41" t="s">
        <v>4482</v>
      </c>
      <c r="AA30" s="94" t="s">
        <v>5758</v>
      </c>
      <c r="AB30" s="94"/>
    </row>
    <row r="31" spans="5:35">
      <c r="R31" s="94"/>
      <c r="S31" s="94"/>
      <c r="T31" s="94"/>
      <c r="U31" s="94"/>
      <c r="V31" s="94"/>
      <c r="W31" s="310" t="s">
        <v>6358</v>
      </c>
      <c r="X31" s="310">
        <v>9199190185</v>
      </c>
      <c r="Y31" s="310">
        <v>195</v>
      </c>
      <c r="Z31" s="310" t="s">
        <v>5202</v>
      </c>
      <c r="AA31" s="94" t="s">
        <v>6204</v>
      </c>
      <c r="AB31" s="94"/>
    </row>
    <row r="32" spans="5:35">
      <c r="R32" s="94"/>
      <c r="S32" s="94"/>
      <c r="T32" s="94"/>
      <c r="U32" s="94"/>
      <c r="V32" s="94"/>
      <c r="W32" s="310" t="s">
        <v>6734</v>
      </c>
      <c r="X32" s="94"/>
      <c r="Y32" s="94"/>
      <c r="Z32" s="310" t="s">
        <v>5202</v>
      </c>
      <c r="AA32" s="94" t="s">
        <v>6735</v>
      </c>
      <c r="AB32" s="94"/>
    </row>
    <row r="33" spans="18:28">
      <c r="R33" s="94"/>
      <c r="S33" s="94"/>
      <c r="T33" s="94"/>
      <c r="U33" s="94"/>
      <c r="V33" s="94"/>
      <c r="W33" s="310" t="s">
        <v>6736</v>
      </c>
      <c r="X33" s="310">
        <v>9304634309</v>
      </c>
      <c r="Y33" s="310">
        <v>150</v>
      </c>
      <c r="Z33" s="310" t="s">
        <v>6737</v>
      </c>
      <c r="AA33" s="94" t="s">
        <v>6733</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4481</v>
      </c>
      <c r="B1" t="s">
        <v>4484</v>
      </c>
      <c r="C1" t="s">
        <v>4485</v>
      </c>
    </row>
    <row r="2" spans="1:3">
      <c r="A2" t="s">
        <v>4482</v>
      </c>
      <c r="B2" t="s">
        <v>4486</v>
      </c>
      <c r="C2" t="s">
        <v>4487</v>
      </c>
    </row>
    <row r="3" spans="1:3">
      <c r="A3" t="s">
        <v>4483</v>
      </c>
      <c r="B3" t="s">
        <v>4485</v>
      </c>
      <c r="C3" t="s">
        <v>4488</v>
      </c>
    </row>
    <row r="5" spans="1:3">
      <c r="A5" t="s">
        <v>4681</v>
      </c>
      <c r="B5" t="s">
        <v>4695</v>
      </c>
    </row>
    <row r="6" spans="1:3">
      <c r="A6" t="s">
        <v>4691</v>
      </c>
      <c r="B6" t="s">
        <v>4696</v>
      </c>
    </row>
    <row r="8" spans="1:3" ht="9.75" customHeight="1"/>
    <row r="9" spans="1:3" hidden="1"/>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5843</v>
      </c>
      <c r="B1" s="205" t="s">
        <v>4418</v>
      </c>
      <c r="C1" s="205" t="s">
        <v>6177</v>
      </c>
      <c r="D1" s="205" t="s">
        <v>5842</v>
      </c>
      <c r="E1" s="205" t="s">
        <v>4822</v>
      </c>
      <c r="F1" s="205" t="s">
        <v>5844</v>
      </c>
      <c r="G1" s="205" t="s">
        <v>5845</v>
      </c>
      <c r="H1" s="205"/>
      <c r="I1" s="205"/>
      <c r="J1" s="205"/>
      <c r="K1" s="205"/>
      <c r="L1" s="205" t="s">
        <v>6178</v>
      </c>
      <c r="M1" s="205">
        <v>10000000000</v>
      </c>
      <c r="N1" s="205"/>
      <c r="O1" s="205"/>
      <c r="P1" s="205"/>
      <c r="Q1" s="205"/>
      <c r="R1" s="205"/>
      <c r="S1" s="205"/>
      <c r="T1" s="205"/>
      <c r="U1" s="205"/>
      <c r="V1" s="205"/>
      <c r="W1" s="205"/>
      <c r="X1" s="205"/>
      <c r="Y1" s="205"/>
      <c r="Z1" s="205"/>
      <c r="AA1" s="205"/>
      <c r="AB1" s="205"/>
      <c r="AC1" s="205"/>
    </row>
    <row r="2" spans="1:29">
      <c r="A2" s="205" t="s">
        <v>5858</v>
      </c>
      <c r="B2" s="205">
        <v>52293239</v>
      </c>
      <c r="C2" s="205">
        <f t="shared" ref="C2:C33" si="0">D2+E2</f>
        <v>2605542578</v>
      </c>
      <c r="D2" s="205" t="s">
        <v>5859</v>
      </c>
      <c r="E2" s="205" t="s">
        <v>5860</v>
      </c>
      <c r="F2" s="205" t="s">
        <v>5861</v>
      </c>
      <c r="G2" s="205" t="s">
        <v>5862</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5847</v>
      </c>
      <c r="B3" s="290">
        <v>39356047</v>
      </c>
      <c r="C3" s="205">
        <f t="shared" si="0"/>
        <v>3355161798</v>
      </c>
      <c r="D3" s="205" t="s">
        <v>5848</v>
      </c>
      <c r="E3" s="205" t="s">
        <v>5849</v>
      </c>
      <c r="F3" s="205" t="s">
        <v>5851</v>
      </c>
      <c r="G3" s="205" t="s">
        <v>5852</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5882</v>
      </c>
      <c r="B4" s="290">
        <v>27272507</v>
      </c>
      <c r="C4" s="205">
        <f t="shared" si="0"/>
        <v>2003857980</v>
      </c>
      <c r="D4" s="205" t="s">
        <v>5859</v>
      </c>
      <c r="E4" s="179" t="s">
        <v>5883</v>
      </c>
      <c r="F4" s="205" t="s">
        <v>5884</v>
      </c>
      <c r="G4" s="205" t="s">
        <v>5885</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5886</v>
      </c>
      <c r="B5" s="290">
        <v>17936330</v>
      </c>
      <c r="C5" s="205">
        <f t="shared" si="0"/>
        <v>4161561525</v>
      </c>
      <c r="D5" s="205" t="s">
        <v>5859</v>
      </c>
      <c r="E5" s="205" t="s">
        <v>5887</v>
      </c>
      <c r="F5" s="205" t="s">
        <v>5888</v>
      </c>
      <c r="G5" s="205" t="s">
        <v>5889</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5868</v>
      </c>
      <c r="B6" s="290">
        <v>15219631</v>
      </c>
      <c r="C6" s="205">
        <f t="shared" si="0"/>
        <v>1037466348</v>
      </c>
      <c r="D6" s="205" t="s">
        <v>5869</v>
      </c>
      <c r="E6" s="205" t="s">
        <v>5870</v>
      </c>
      <c r="F6" s="179" t="s">
        <v>5871</v>
      </c>
      <c r="G6" s="205" t="s">
        <v>5872</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5914</v>
      </c>
      <c r="B7" s="290">
        <v>12077909</v>
      </c>
      <c r="C7" s="205">
        <f t="shared" si="0"/>
        <v>499499998</v>
      </c>
      <c r="D7" s="205" t="s">
        <v>5859</v>
      </c>
      <c r="E7" s="205" t="s">
        <v>5915</v>
      </c>
      <c r="F7" s="205" t="s">
        <v>5916</v>
      </c>
      <c r="G7" s="205" t="s">
        <v>5917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5946</v>
      </c>
      <c r="B8" s="290">
        <v>11039958</v>
      </c>
      <c r="C8" s="205">
        <f t="shared" si="0"/>
        <v>2802020000</v>
      </c>
      <c r="D8" s="205" t="s">
        <v>5859</v>
      </c>
      <c r="E8" s="205" t="s">
        <v>5947</v>
      </c>
      <c r="F8" s="205" t="s">
        <v>5948</v>
      </c>
      <c r="G8" s="205" t="s">
        <v>5949</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5905</v>
      </c>
      <c r="B9" s="290">
        <v>6743250</v>
      </c>
      <c r="C9" s="205">
        <f t="shared" si="0"/>
        <v>337500000</v>
      </c>
      <c r="D9" s="205" t="s">
        <v>5859</v>
      </c>
      <c r="E9" s="205" t="s">
        <v>5906</v>
      </c>
      <c r="F9" s="205" t="s">
        <v>5907</v>
      </c>
      <c r="G9" s="205" t="s">
        <v>5908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5937</v>
      </c>
      <c r="B10" s="290">
        <v>6591899</v>
      </c>
      <c r="C10" s="205">
        <f t="shared" si="0"/>
        <v>978026662</v>
      </c>
      <c r="D10" s="205" t="s">
        <v>5859</v>
      </c>
      <c r="E10" s="205" t="s">
        <v>5938</v>
      </c>
      <c r="F10" s="205" t="s">
        <v>5939</v>
      </c>
      <c r="G10" s="205" t="s">
        <v>5940</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5853</v>
      </c>
      <c r="B11" s="290">
        <v>6515494</v>
      </c>
      <c r="C11" s="205">
        <f t="shared" si="0"/>
        <v>137024073</v>
      </c>
      <c r="D11" s="205" t="s">
        <v>5854</v>
      </c>
      <c r="E11" s="205" t="s">
        <v>5855</v>
      </c>
      <c r="F11" s="205" t="s">
        <v>5856</v>
      </c>
      <c r="G11" s="205" t="s">
        <v>5857</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5863</v>
      </c>
      <c r="B12" s="290">
        <v>5962560</v>
      </c>
      <c r="C12" s="205">
        <f t="shared" si="0"/>
        <v>1242200000</v>
      </c>
      <c r="D12" s="205" t="s">
        <v>5864</v>
      </c>
      <c r="E12" s="205" t="s">
        <v>5865</v>
      </c>
      <c r="F12" s="205" t="s">
        <v>5866</v>
      </c>
      <c r="G12" s="205" t="s">
        <v>5867</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5980</v>
      </c>
      <c r="B13" s="290">
        <v>4690527</v>
      </c>
      <c r="C13" s="205">
        <f t="shared" si="0"/>
        <v>623740333</v>
      </c>
      <c r="D13" s="205" t="s">
        <v>5859</v>
      </c>
      <c r="E13" s="205" t="s">
        <v>5981</v>
      </c>
      <c r="F13" s="205" t="s">
        <v>5982</v>
      </c>
      <c r="G13" s="205" t="s">
        <v>5983</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5976</v>
      </c>
      <c r="B14" s="290">
        <v>4423541</v>
      </c>
      <c r="C14" s="205">
        <f t="shared" si="0"/>
        <v>118276522</v>
      </c>
      <c r="D14" s="205" t="s">
        <v>5859</v>
      </c>
      <c r="E14" s="205" t="s">
        <v>5977</v>
      </c>
      <c r="F14" s="205" t="s">
        <v>5978</v>
      </c>
      <c r="G14" s="205" t="s">
        <v>5979</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6170</v>
      </c>
      <c r="B15" s="290">
        <v>4228226</v>
      </c>
      <c r="C15" s="205">
        <f t="shared" si="0"/>
        <v>106322321</v>
      </c>
      <c r="D15" s="205" t="s">
        <v>5859</v>
      </c>
      <c r="E15" s="205" t="s">
        <v>6171</v>
      </c>
      <c r="F15" s="205" t="s">
        <v>5859</v>
      </c>
      <c r="G15" s="205" t="s">
        <v>6172</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5989</v>
      </c>
      <c r="B16" s="290">
        <v>3555770</v>
      </c>
      <c r="C16" s="205">
        <f t="shared" si="0"/>
        <v>183381668</v>
      </c>
      <c r="D16" s="205" t="s">
        <v>5859</v>
      </c>
      <c r="E16" s="205" t="s">
        <v>5990</v>
      </c>
      <c r="F16" s="205" t="s">
        <v>5991</v>
      </c>
      <c r="G16" s="205" t="s">
        <v>5992</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5962</v>
      </c>
      <c r="B17" s="290">
        <v>3392316</v>
      </c>
      <c r="C17" s="205">
        <f t="shared" si="0"/>
        <v>1015663732</v>
      </c>
      <c r="D17" s="205" t="s">
        <v>5859</v>
      </c>
      <c r="E17" s="205" t="s">
        <v>5963</v>
      </c>
      <c r="F17" s="205" t="s">
        <v>5964</v>
      </c>
      <c r="G17" s="205" t="s">
        <v>5965</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5890</v>
      </c>
      <c r="B18" s="290">
        <v>3321096</v>
      </c>
      <c r="C18" s="205">
        <f t="shared" si="0"/>
        <v>254880755</v>
      </c>
      <c r="D18" s="205" t="s">
        <v>5859</v>
      </c>
      <c r="E18" s="205" t="s">
        <v>5891</v>
      </c>
      <c r="F18" s="205" t="s">
        <v>5892</v>
      </c>
      <c r="G18" s="205" t="s">
        <v>5893</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5933</v>
      </c>
      <c r="B19" s="290">
        <v>2708729</v>
      </c>
      <c r="C19" s="205">
        <f t="shared" si="0"/>
        <v>158220192</v>
      </c>
      <c r="D19" s="205" t="s">
        <v>5859</v>
      </c>
      <c r="E19" s="205" t="s">
        <v>5934</v>
      </c>
      <c r="F19" s="205" t="s">
        <v>5935</v>
      </c>
      <c r="G19" s="205" t="s">
        <v>5936</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5878</v>
      </c>
      <c r="B20" s="290">
        <v>2623529</v>
      </c>
      <c r="C20" s="205">
        <f t="shared" si="0"/>
        <v>101805550</v>
      </c>
      <c r="D20" s="205" t="s">
        <v>5859</v>
      </c>
      <c r="E20" s="205" t="s">
        <v>5879</v>
      </c>
      <c r="F20" s="205" t="s">
        <v>5880</v>
      </c>
      <c r="G20" s="205" t="s">
        <v>5881</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5873</v>
      </c>
      <c r="B21" s="290">
        <v>2224069</v>
      </c>
      <c r="C21" s="205">
        <f t="shared" si="0"/>
        <v>30270982</v>
      </c>
      <c r="D21" s="205" t="s">
        <v>5874</v>
      </c>
      <c r="E21" s="205" t="s">
        <v>5875</v>
      </c>
      <c r="F21" s="205" t="s">
        <v>5876</v>
      </c>
      <c r="G21" s="205" t="s">
        <v>5877</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5993</v>
      </c>
      <c r="B22" s="291" t="s">
        <v>5994</v>
      </c>
      <c r="C22" s="205">
        <f t="shared" si="0"/>
        <v>114588426</v>
      </c>
      <c r="D22" s="205" t="s">
        <v>5859</v>
      </c>
      <c r="E22" s="205" t="s">
        <v>5995</v>
      </c>
      <c r="F22" s="205" t="s">
        <v>5996</v>
      </c>
      <c r="G22" s="205" t="s">
        <v>5997</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5950</v>
      </c>
      <c r="B23" s="291" t="s">
        <v>5951</v>
      </c>
      <c r="C23" s="205">
        <f t="shared" si="0"/>
        <v>735760160</v>
      </c>
      <c r="D23" s="205" t="s">
        <v>5952</v>
      </c>
      <c r="E23" s="205" t="s">
        <v>5953</v>
      </c>
      <c r="F23" s="205" t="s">
        <v>5954</v>
      </c>
      <c r="G23" s="205" t="s">
        <v>5955</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6109</v>
      </c>
      <c r="B24" s="291" t="s">
        <v>6110</v>
      </c>
      <c r="C24" s="205">
        <f t="shared" si="0"/>
        <v>4044500</v>
      </c>
      <c r="D24" s="205" t="s">
        <v>5859</v>
      </c>
      <c r="E24" s="205" t="s">
        <v>6111</v>
      </c>
      <c r="F24" s="205" t="s">
        <v>6095</v>
      </c>
      <c r="G24" s="205" t="s">
        <v>6112</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6022</v>
      </c>
      <c r="B25" s="291" t="s">
        <v>6023</v>
      </c>
      <c r="C25" s="205">
        <f t="shared" si="0"/>
        <v>53400000</v>
      </c>
      <c r="D25" s="205" t="s">
        <v>5859</v>
      </c>
      <c r="E25" s="205" t="s">
        <v>6024</v>
      </c>
      <c r="F25" s="205" t="s">
        <v>6025</v>
      </c>
      <c r="G25" s="205" t="s">
        <v>6026</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5900</v>
      </c>
      <c r="B26" s="291" t="s">
        <v>5901</v>
      </c>
      <c r="C26" s="205">
        <f t="shared" si="0"/>
        <v>36391574</v>
      </c>
      <c r="D26" s="205" t="s">
        <v>5859</v>
      </c>
      <c r="E26" s="205" t="s">
        <v>5902</v>
      </c>
      <c r="F26" s="205" t="s">
        <v>5903</v>
      </c>
      <c r="G26" s="205" t="s">
        <v>5904</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5941</v>
      </c>
      <c r="B27" s="291" t="s">
        <v>5942</v>
      </c>
      <c r="C27" s="205">
        <f t="shared" si="0"/>
        <v>29296590</v>
      </c>
      <c r="D27" s="205" t="s">
        <v>5859</v>
      </c>
      <c r="E27" s="205" t="s">
        <v>5943</v>
      </c>
      <c r="F27" s="205" t="s">
        <v>5944</v>
      </c>
      <c r="G27" s="205" t="s">
        <v>5945</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6037</v>
      </c>
      <c r="B28" s="291" t="s">
        <v>6038</v>
      </c>
      <c r="C28" s="205">
        <f t="shared" si="0"/>
        <v>32151333</v>
      </c>
      <c r="D28" s="205" t="s">
        <v>5859</v>
      </c>
      <c r="E28" s="205" t="s">
        <v>6039</v>
      </c>
      <c r="F28" s="205" t="s">
        <v>6040</v>
      </c>
      <c r="G28" s="205" t="s">
        <v>6041</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5894</v>
      </c>
      <c r="B29" s="291" t="s">
        <v>5895</v>
      </c>
      <c r="C29" s="205">
        <f t="shared" si="0"/>
        <v>23043086</v>
      </c>
      <c r="D29" s="205" t="s">
        <v>5896</v>
      </c>
      <c r="E29" s="205" t="s">
        <v>5897</v>
      </c>
      <c r="F29" s="205" t="s">
        <v>5898</v>
      </c>
      <c r="G29" s="205" t="s">
        <v>5899</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6002</v>
      </c>
      <c r="B30" s="291" t="s">
        <v>6003</v>
      </c>
      <c r="C30" s="205">
        <f t="shared" si="0"/>
        <v>126674402</v>
      </c>
      <c r="D30" s="205" t="s">
        <v>5859</v>
      </c>
      <c r="E30" s="205" t="s">
        <v>6004</v>
      </c>
      <c r="F30" s="205" t="s">
        <v>6005</v>
      </c>
      <c r="G30" s="205" t="s">
        <v>6006</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5971</v>
      </c>
      <c r="B31" s="291" t="s">
        <v>5972</v>
      </c>
      <c r="C31" s="205">
        <f t="shared" si="0"/>
        <v>182160000</v>
      </c>
      <c r="D31" s="205" t="s">
        <v>5859</v>
      </c>
      <c r="E31" s="205" t="s">
        <v>5973</v>
      </c>
      <c r="F31" s="205" t="s">
        <v>5974</v>
      </c>
      <c r="G31" s="205" t="s">
        <v>5975</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6017</v>
      </c>
      <c r="B32" s="291" t="s">
        <v>6018</v>
      </c>
      <c r="C32" s="205">
        <f t="shared" si="0"/>
        <v>67919940</v>
      </c>
      <c r="D32" s="205" t="s">
        <v>5859</v>
      </c>
      <c r="E32" s="205" t="s">
        <v>6019</v>
      </c>
      <c r="F32" s="205" t="s">
        <v>6020</v>
      </c>
      <c r="G32" s="205" t="s">
        <v>6021</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6042</v>
      </c>
      <c r="B33" s="291" t="s">
        <v>6043</v>
      </c>
      <c r="C33" s="205">
        <f t="shared" si="0"/>
        <v>29288000</v>
      </c>
      <c r="D33" s="205" t="s">
        <v>5859</v>
      </c>
      <c r="E33" s="205" t="s">
        <v>6044</v>
      </c>
      <c r="F33" s="205" t="s">
        <v>6045</v>
      </c>
      <c r="G33" s="205" t="s">
        <v>6046</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6052</v>
      </c>
      <c r="B34" s="291" t="s">
        <v>6053</v>
      </c>
      <c r="C34" s="205">
        <f t="shared" ref="C34:C65" si="4">D34+E34</f>
        <v>259990000</v>
      </c>
      <c r="D34" s="205" t="s">
        <v>5859</v>
      </c>
      <c r="E34" s="205" t="s">
        <v>6054</v>
      </c>
      <c r="F34" s="205" t="s">
        <v>6055</v>
      </c>
      <c r="G34" s="205" t="s">
        <v>6056</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6007</v>
      </c>
      <c r="B35" s="291" t="s">
        <v>6008</v>
      </c>
      <c r="C35" s="205">
        <f t="shared" si="4"/>
        <v>6208016</v>
      </c>
      <c r="D35" s="205" t="s">
        <v>5859</v>
      </c>
      <c r="E35" s="205" t="s">
        <v>6009</v>
      </c>
      <c r="F35" s="205" t="s">
        <v>6010</v>
      </c>
      <c r="G35" s="205" t="s">
        <v>6011</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5922</v>
      </c>
      <c r="B36" s="291" t="s">
        <v>5923</v>
      </c>
      <c r="C36" s="205">
        <f t="shared" si="4"/>
        <v>39242697</v>
      </c>
      <c r="D36" s="205" t="s">
        <v>5924</v>
      </c>
      <c r="E36" s="205" t="s">
        <v>5925</v>
      </c>
      <c r="F36" s="205" t="s">
        <v>5926</v>
      </c>
      <c r="G36" s="205" t="s">
        <v>5927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6047</v>
      </c>
      <c r="B37" s="291" t="s">
        <v>6048</v>
      </c>
      <c r="C37" s="205">
        <f t="shared" si="4"/>
        <v>24338461</v>
      </c>
      <c r="D37" s="205" t="s">
        <v>5859</v>
      </c>
      <c r="E37" s="205" t="s">
        <v>6049</v>
      </c>
      <c r="F37" s="205" t="s">
        <v>6050</v>
      </c>
      <c r="G37" s="205" t="s">
        <v>6051</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5928</v>
      </c>
      <c r="B38" s="291" t="s">
        <v>5929</v>
      </c>
      <c r="C38" s="205">
        <f t="shared" si="4"/>
        <v>35697979</v>
      </c>
      <c r="D38" s="205" t="s">
        <v>5859</v>
      </c>
      <c r="E38" s="205" t="s">
        <v>5930</v>
      </c>
      <c r="F38" s="205" t="s">
        <v>5931</v>
      </c>
      <c r="G38" s="205" t="s">
        <v>5932</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5956</v>
      </c>
      <c r="B39" s="291" t="s">
        <v>5957</v>
      </c>
      <c r="C39" s="205">
        <f t="shared" si="4"/>
        <v>30949707</v>
      </c>
      <c r="D39" s="205" t="s">
        <v>5958</v>
      </c>
      <c r="E39" s="205" t="s">
        <v>5959</v>
      </c>
      <c r="F39" s="205" t="s">
        <v>5960</v>
      </c>
      <c r="G39" s="205" t="s">
        <v>5961</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5918</v>
      </c>
      <c r="B40" s="291" t="s">
        <v>5919</v>
      </c>
      <c r="C40" s="205">
        <f t="shared" si="4"/>
        <v>11270740</v>
      </c>
      <c r="D40" s="205" t="s">
        <v>5859</v>
      </c>
      <c r="E40" s="205" t="s">
        <v>5920</v>
      </c>
      <c r="F40" s="205" t="s">
        <v>5921</v>
      </c>
      <c r="G40" s="205" t="s">
        <v>4824</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6063</v>
      </c>
      <c r="B41" s="291" t="s">
        <v>6064</v>
      </c>
      <c r="C41" s="205">
        <f t="shared" si="4"/>
        <v>15600000</v>
      </c>
      <c r="D41" s="205" t="s">
        <v>5859</v>
      </c>
      <c r="E41" s="205" t="s">
        <v>6065</v>
      </c>
      <c r="F41" s="205" t="s">
        <v>6066</v>
      </c>
      <c r="G41" s="205" t="s">
        <v>6067</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5909</v>
      </c>
      <c r="B42" s="291" t="s">
        <v>5910</v>
      </c>
      <c r="C42" s="205">
        <f t="shared" si="4"/>
        <v>14702520</v>
      </c>
      <c r="D42" s="205" t="s">
        <v>5859</v>
      </c>
      <c r="E42" s="205" t="s">
        <v>5911</v>
      </c>
      <c r="F42" s="205" t="s">
        <v>5912</v>
      </c>
      <c r="G42" s="205" t="s">
        <v>5913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5984</v>
      </c>
      <c r="B43" s="291" t="s">
        <v>5985</v>
      </c>
      <c r="C43" s="205">
        <f t="shared" si="4"/>
        <v>13930853</v>
      </c>
      <c r="D43" s="205" t="s">
        <v>5859</v>
      </c>
      <c r="E43" s="205" t="s">
        <v>5986</v>
      </c>
      <c r="F43" s="205" t="s">
        <v>5987</v>
      </c>
      <c r="G43" s="205" t="s">
        <v>5988</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5966</v>
      </c>
      <c r="B44" s="291" t="s">
        <v>5967</v>
      </c>
      <c r="C44" s="205">
        <f t="shared" si="4"/>
        <v>68500000</v>
      </c>
      <c r="D44" s="205" t="s">
        <v>5859</v>
      </c>
      <c r="E44" s="205" t="s">
        <v>5968</v>
      </c>
      <c r="F44" s="205" t="s">
        <v>5969</v>
      </c>
      <c r="G44" s="205" t="s">
        <v>5970</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6068</v>
      </c>
      <c r="B45" s="291" t="s">
        <v>6069</v>
      </c>
      <c r="C45" s="205">
        <f t="shared" si="4"/>
        <v>3000000</v>
      </c>
      <c r="D45" s="205" t="s">
        <v>5859</v>
      </c>
      <c r="E45" s="205" t="s">
        <v>5903</v>
      </c>
      <c r="F45" s="205" t="s">
        <v>6070</v>
      </c>
      <c r="G45" s="205" t="s">
        <v>6071</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6087</v>
      </c>
      <c r="B46" s="291" t="s">
        <v>6088</v>
      </c>
      <c r="C46" s="205">
        <f t="shared" si="4"/>
        <v>12400000</v>
      </c>
      <c r="D46" s="205" t="s">
        <v>5859</v>
      </c>
      <c r="E46" s="205" t="s">
        <v>6089</v>
      </c>
      <c r="F46" s="205" t="s">
        <v>6090</v>
      </c>
      <c r="G46" s="205" t="s">
        <v>6091</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5998</v>
      </c>
      <c r="B47" s="291" t="s">
        <v>5999</v>
      </c>
      <c r="C47" s="205">
        <f t="shared" si="4"/>
        <v>25000000</v>
      </c>
      <c r="D47" s="205" t="s">
        <v>5859</v>
      </c>
      <c r="E47" s="205" t="s">
        <v>5921</v>
      </c>
      <c r="F47" s="205" t="s">
        <v>6000</v>
      </c>
      <c r="G47" s="205" t="s">
        <v>6001</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6072</v>
      </c>
      <c r="B48" s="291" t="s">
        <v>6073</v>
      </c>
      <c r="C48" s="205">
        <f t="shared" si="4"/>
        <v>29000000</v>
      </c>
      <c r="D48" s="205" t="s">
        <v>5859</v>
      </c>
      <c r="E48" s="205" t="s">
        <v>6074</v>
      </c>
      <c r="F48" s="205" t="s">
        <v>6075</v>
      </c>
      <c r="G48" s="205" t="s">
        <v>6076</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6100</v>
      </c>
      <c r="B49" s="291" t="s">
        <v>6101</v>
      </c>
      <c r="C49" s="205">
        <f t="shared" si="4"/>
        <v>12691397</v>
      </c>
      <c r="D49" s="205" t="s">
        <v>5859</v>
      </c>
      <c r="E49" s="205" t="s">
        <v>6102</v>
      </c>
      <c r="F49" s="205" t="s">
        <v>6103</v>
      </c>
      <c r="G49" s="205" t="s">
        <v>6104</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6092</v>
      </c>
      <c r="B50" s="291" t="s">
        <v>6093</v>
      </c>
      <c r="C50" s="205">
        <f t="shared" si="4"/>
        <v>4639508</v>
      </c>
      <c r="D50" s="205" t="s">
        <v>5859</v>
      </c>
      <c r="E50" s="205" t="s">
        <v>6094</v>
      </c>
      <c r="F50" s="205" t="s">
        <v>6095</v>
      </c>
      <c r="G50" s="205" t="s">
        <v>6096</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6032</v>
      </c>
      <c r="B51" s="291" t="s">
        <v>6033</v>
      </c>
      <c r="C51" s="205">
        <f t="shared" si="4"/>
        <v>9242699</v>
      </c>
      <c r="D51" s="205" t="s">
        <v>5859</v>
      </c>
      <c r="E51" s="205" t="s">
        <v>6034</v>
      </c>
      <c r="F51" s="205" t="s">
        <v>6035</v>
      </c>
      <c r="G51" s="205" t="s">
        <v>6036</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6027</v>
      </c>
      <c r="B52" s="291" t="s">
        <v>6028</v>
      </c>
      <c r="C52" s="205">
        <f t="shared" si="4"/>
        <v>12000000</v>
      </c>
      <c r="D52" s="205" t="s">
        <v>5859</v>
      </c>
      <c r="E52" s="205" t="s">
        <v>6029</v>
      </c>
      <c r="F52" s="205" t="s">
        <v>6030</v>
      </c>
      <c r="G52" s="205" t="s">
        <v>6031</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6082</v>
      </c>
      <c r="B53" s="291" t="s">
        <v>6083</v>
      </c>
      <c r="C53" s="205">
        <f t="shared" si="4"/>
        <v>18333333</v>
      </c>
      <c r="D53" s="205" t="s">
        <v>5859</v>
      </c>
      <c r="E53" s="205" t="s">
        <v>6084</v>
      </c>
      <c r="F53" s="205" t="s">
        <v>6085</v>
      </c>
      <c r="G53" s="205" t="s">
        <v>6086</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6057</v>
      </c>
      <c r="B54" s="291" t="s">
        <v>6058</v>
      </c>
      <c r="C54" s="205">
        <f t="shared" si="4"/>
        <v>10686057</v>
      </c>
      <c r="D54" s="205" t="s">
        <v>6059</v>
      </c>
      <c r="E54" s="205" t="s">
        <v>6060</v>
      </c>
      <c r="F54" s="205" t="s">
        <v>6061</v>
      </c>
      <c r="G54" s="205" t="s">
        <v>6062</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6012</v>
      </c>
      <c r="B55" s="291" t="s">
        <v>6013</v>
      </c>
      <c r="C55" s="205">
        <f t="shared" si="4"/>
        <v>6210524</v>
      </c>
      <c r="D55" s="205" t="s">
        <v>5859</v>
      </c>
      <c r="E55" s="205" t="s">
        <v>6014</v>
      </c>
      <c r="F55" s="205" t="s">
        <v>6015</v>
      </c>
      <c r="G55" s="205" t="s">
        <v>6016</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6136</v>
      </c>
      <c r="B56" s="291" t="s">
        <v>6137</v>
      </c>
      <c r="C56" s="205">
        <f t="shared" si="4"/>
        <v>2660000</v>
      </c>
      <c r="D56" s="205" t="s">
        <v>5859</v>
      </c>
      <c r="E56" s="205" t="s">
        <v>6138</v>
      </c>
      <c r="F56" s="205" t="s">
        <v>6139</v>
      </c>
      <c r="G56" s="205" t="s">
        <v>6140</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6113</v>
      </c>
      <c r="B57" s="291" t="s">
        <v>6114</v>
      </c>
      <c r="C57" s="205">
        <f t="shared" si="4"/>
        <v>4333333</v>
      </c>
      <c r="D57" s="205" t="s">
        <v>5859</v>
      </c>
      <c r="E57" s="205" t="s">
        <v>6115</v>
      </c>
      <c r="F57" s="205" t="s">
        <v>6116</v>
      </c>
      <c r="G57" s="205" t="s">
        <v>6117</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6118</v>
      </c>
      <c r="B58" s="291" t="s">
        <v>6119</v>
      </c>
      <c r="C58" s="205">
        <f t="shared" si="4"/>
        <v>469533</v>
      </c>
      <c r="D58" s="205" t="s">
        <v>5859</v>
      </c>
      <c r="E58" s="205" t="s">
        <v>6120</v>
      </c>
      <c r="F58" s="205" t="s">
        <v>6121</v>
      </c>
      <c r="G58" s="205" t="s">
        <v>6122</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6163</v>
      </c>
      <c r="B59" s="291" t="s">
        <v>6162</v>
      </c>
      <c r="C59" s="205">
        <f t="shared" si="4"/>
        <v>5076558</v>
      </c>
      <c r="D59" s="205" t="s">
        <v>6164</v>
      </c>
      <c r="E59" s="205" t="s">
        <v>5859</v>
      </c>
      <c r="F59" s="205" t="s">
        <v>6103</v>
      </c>
      <c r="G59" s="205" t="s">
        <v>6165</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5853</v>
      </c>
      <c r="B60" s="291" t="s">
        <v>6105</v>
      </c>
      <c r="C60" s="205">
        <f t="shared" si="4"/>
        <v>1144000</v>
      </c>
      <c r="D60" s="205" t="s">
        <v>5859</v>
      </c>
      <c r="E60" s="205" t="s">
        <v>6106</v>
      </c>
      <c r="F60" s="205" t="s">
        <v>6107</v>
      </c>
      <c r="G60" s="205" t="s">
        <v>6108</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6077</v>
      </c>
      <c r="B61" s="291" t="s">
        <v>6078</v>
      </c>
      <c r="C61" s="205">
        <f t="shared" si="4"/>
        <v>2000000</v>
      </c>
      <c r="D61" s="205" t="s">
        <v>5859</v>
      </c>
      <c r="E61" s="205" t="s">
        <v>6079</v>
      </c>
      <c r="F61" s="205" t="s">
        <v>6080</v>
      </c>
      <c r="G61" s="205" t="s">
        <v>6081</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6127</v>
      </c>
      <c r="B62" s="291" t="s">
        <v>6128</v>
      </c>
      <c r="C62" s="205">
        <f t="shared" si="4"/>
        <v>1469425</v>
      </c>
      <c r="D62" s="205" t="s">
        <v>5859</v>
      </c>
      <c r="E62" s="205" t="s">
        <v>6129</v>
      </c>
      <c r="F62" s="205" t="s">
        <v>6130</v>
      </c>
      <c r="G62" s="205" t="s">
        <v>6131</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6123</v>
      </c>
      <c r="B63" s="291" t="s">
        <v>6124</v>
      </c>
      <c r="C63" s="205">
        <f t="shared" si="4"/>
        <v>1888175</v>
      </c>
      <c r="D63" s="205" t="s">
        <v>5859</v>
      </c>
      <c r="E63" s="205" t="s">
        <v>6125</v>
      </c>
      <c r="F63" s="205" t="s">
        <v>5921</v>
      </c>
      <c r="G63" s="205" t="s">
        <v>6126</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5850</v>
      </c>
      <c r="B64" s="291" t="s">
        <v>6097</v>
      </c>
      <c r="C64" s="205">
        <f t="shared" si="4"/>
        <v>15200000</v>
      </c>
      <c r="D64" s="205" t="s">
        <v>5859</v>
      </c>
      <c r="E64" s="205" t="s">
        <v>6098</v>
      </c>
      <c r="F64" s="205" t="s">
        <v>5939</v>
      </c>
      <c r="G64" s="205" t="s">
        <v>6099</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6141</v>
      </c>
      <c r="B65" s="291" t="s">
        <v>6142</v>
      </c>
      <c r="C65" s="205">
        <f t="shared" si="4"/>
        <v>364567</v>
      </c>
      <c r="D65" s="205" t="s">
        <v>5859</v>
      </c>
      <c r="E65" s="205" t="s">
        <v>6143</v>
      </c>
      <c r="F65" s="205" t="s">
        <v>6040</v>
      </c>
      <c r="G65" s="205" t="s">
        <v>6144</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6132</v>
      </c>
      <c r="B66" s="291" t="s">
        <v>6133</v>
      </c>
      <c r="C66" s="205">
        <f>D66+E66</f>
        <v>474991</v>
      </c>
      <c r="D66" s="205" t="s">
        <v>5859</v>
      </c>
      <c r="E66" s="205" t="s">
        <v>6134</v>
      </c>
      <c r="F66" s="205" t="s">
        <v>5982</v>
      </c>
      <c r="G66" s="205" t="s">
        <v>6135</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6150</v>
      </c>
      <c r="B67" s="291" t="s">
        <v>6151</v>
      </c>
      <c r="C67" s="205">
        <f>D67+E67</f>
        <v>35981</v>
      </c>
      <c r="D67" s="205" t="s">
        <v>5859</v>
      </c>
      <c r="E67" s="205" t="s">
        <v>6152</v>
      </c>
      <c r="F67" s="205" t="s">
        <v>6153</v>
      </c>
      <c r="G67" s="205" t="s">
        <v>6154</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6145</v>
      </c>
      <c r="B68" s="291" t="s">
        <v>6146</v>
      </c>
      <c r="C68" s="205">
        <f>D68+E68</f>
        <v>3000</v>
      </c>
      <c r="D68" s="205" t="s">
        <v>6147</v>
      </c>
      <c r="E68" s="205" t="s">
        <v>6148</v>
      </c>
      <c r="F68" s="205" t="s">
        <v>5939</v>
      </c>
      <c r="G68" s="205" t="s">
        <v>6149</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6155</v>
      </c>
      <c r="B69" s="291" t="s">
        <v>6156</v>
      </c>
      <c r="C69" s="205">
        <f>D69+E69</f>
        <v>2666</v>
      </c>
      <c r="D69" s="205" t="s">
        <v>5859</v>
      </c>
      <c r="E69" s="205" t="s">
        <v>6157</v>
      </c>
      <c r="F69" s="205" t="s">
        <v>5982</v>
      </c>
      <c r="G69" s="205" t="s">
        <v>6158</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6159</v>
      </c>
      <c r="B70" s="291" t="s">
        <v>5859</v>
      </c>
      <c r="C70" s="205">
        <f>D70+E70</f>
        <v>0</v>
      </c>
      <c r="D70" s="205" t="s">
        <v>6160</v>
      </c>
      <c r="E70" s="205" t="s">
        <v>5952</v>
      </c>
      <c r="F70" s="205" t="s">
        <v>5954</v>
      </c>
      <c r="G70" s="205" t="s">
        <v>6161</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6166</v>
      </c>
      <c r="B71" s="291" t="s">
        <v>5859</v>
      </c>
      <c r="C71" s="205"/>
      <c r="D71" s="205" t="s">
        <v>5859</v>
      </c>
      <c r="E71" s="205" t="s">
        <v>6167</v>
      </c>
      <c r="F71" s="205" t="s">
        <v>6168</v>
      </c>
      <c r="G71" s="205" t="s">
        <v>6169</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1">
        <f>SUM(B2:B70)</f>
        <v>232176627</v>
      </c>
      <c r="C72" s="290">
        <v>47269501</v>
      </c>
      <c r="D72" s="205" t="s">
        <v>4894</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5846</v>
      </c>
      <c r="I82" s="205" t="s">
        <v>191</v>
      </c>
      <c r="J82" s="205" t="s">
        <v>6179</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4636</v>
      </c>
      <c r="C1" s="97" t="s">
        <v>3917</v>
      </c>
      <c r="D1" s="97" t="s">
        <v>8</v>
      </c>
      <c r="E1" s="94"/>
      <c r="F1" s="94"/>
      <c r="G1" s="94"/>
    </row>
    <row r="2" spans="1:7">
      <c r="A2" s="97" t="s">
        <v>4627</v>
      </c>
      <c r="B2" s="93">
        <v>10300</v>
      </c>
      <c r="C2" s="93">
        <v>0</v>
      </c>
      <c r="D2" s="97" t="s">
        <v>4637</v>
      </c>
      <c r="E2" s="94"/>
      <c r="F2" s="94"/>
      <c r="G2" s="94"/>
    </row>
    <row r="3" spans="1:7">
      <c r="A3" s="97" t="s">
        <v>4627</v>
      </c>
      <c r="B3" s="93">
        <v>0</v>
      </c>
      <c r="C3" s="93">
        <v>5500</v>
      </c>
      <c r="D3" s="97" t="s">
        <v>4638</v>
      </c>
      <c r="E3" s="94"/>
      <c r="F3" s="94"/>
      <c r="G3" s="94"/>
    </row>
    <row r="4" spans="1:7">
      <c r="A4" s="97" t="s">
        <v>3666</v>
      </c>
      <c r="B4" s="93">
        <v>0</v>
      </c>
      <c r="C4" s="93">
        <v>1000</v>
      </c>
      <c r="D4" s="97" t="s">
        <v>315</v>
      </c>
      <c r="E4" s="94"/>
      <c r="F4" s="94"/>
      <c r="G4" s="94"/>
    </row>
    <row r="5" spans="1:7">
      <c r="A5" s="97" t="s">
        <v>4642</v>
      </c>
      <c r="B5" s="93">
        <v>0</v>
      </c>
      <c r="C5" s="93">
        <v>1000</v>
      </c>
      <c r="D5" s="97" t="s">
        <v>315</v>
      </c>
      <c r="E5" s="94"/>
      <c r="F5" s="94"/>
      <c r="G5" s="94"/>
    </row>
    <row r="6" spans="1:7">
      <c r="A6" s="97" t="s">
        <v>4652</v>
      </c>
      <c r="B6" s="93">
        <v>0</v>
      </c>
      <c r="C6" s="93">
        <v>3000</v>
      </c>
      <c r="D6" s="97" t="s">
        <v>4656</v>
      </c>
      <c r="E6" s="94"/>
      <c r="F6" s="94"/>
      <c r="G6" s="94"/>
    </row>
    <row r="7" spans="1:7">
      <c r="A7" s="97" t="s">
        <v>4652</v>
      </c>
      <c r="B7" s="93">
        <v>9200</v>
      </c>
      <c r="C7" s="93">
        <v>0</v>
      </c>
      <c r="D7" s="97" t="s">
        <v>4637</v>
      </c>
      <c r="E7" s="94"/>
      <c r="F7" s="94"/>
      <c r="G7" s="94"/>
    </row>
    <row r="8" spans="1:7">
      <c r="A8" s="97" t="s">
        <v>4654</v>
      </c>
      <c r="B8" s="93">
        <v>0</v>
      </c>
      <c r="C8" s="93">
        <v>1000</v>
      </c>
      <c r="D8" s="97" t="s">
        <v>315</v>
      </c>
      <c r="E8" s="94"/>
      <c r="F8" s="94"/>
      <c r="G8" s="94"/>
    </row>
    <row r="9" spans="1:7">
      <c r="A9" s="97" t="s">
        <v>4661</v>
      </c>
      <c r="B9" s="97">
        <v>0</v>
      </c>
      <c r="C9" s="97">
        <v>1000</v>
      </c>
      <c r="D9" s="97" t="s">
        <v>315</v>
      </c>
      <c r="E9" s="94"/>
      <c r="F9" s="94"/>
      <c r="G9" s="94"/>
    </row>
    <row r="10" spans="1:7">
      <c r="A10" s="97" t="s">
        <v>4661</v>
      </c>
      <c r="B10" s="93">
        <v>10200</v>
      </c>
      <c r="C10" s="93">
        <v>0</v>
      </c>
      <c r="D10" s="97" t="s">
        <v>4637</v>
      </c>
      <c r="E10" s="94"/>
      <c r="F10" s="94"/>
      <c r="G10" s="94"/>
    </row>
    <row r="11" spans="1:7">
      <c r="A11" s="97" t="s">
        <v>4673</v>
      </c>
      <c r="B11" s="93">
        <v>0</v>
      </c>
      <c r="C11" s="93">
        <v>1000</v>
      </c>
      <c r="D11" s="97" t="s">
        <v>315</v>
      </c>
      <c r="E11" s="94"/>
      <c r="F11" s="94"/>
      <c r="G11" s="94"/>
    </row>
    <row r="12" spans="1:7">
      <c r="A12" s="97" t="s">
        <v>4690</v>
      </c>
      <c r="B12" s="93">
        <v>0</v>
      </c>
      <c r="C12" s="93">
        <v>1000</v>
      </c>
      <c r="D12" s="97" t="s">
        <v>315</v>
      </c>
      <c r="E12" s="94"/>
      <c r="F12" s="94"/>
      <c r="G12" s="94"/>
    </row>
    <row r="13" spans="1:7">
      <c r="A13" s="97" t="s">
        <v>4691</v>
      </c>
      <c r="B13" s="93">
        <v>0</v>
      </c>
      <c r="C13" s="93">
        <v>1000</v>
      </c>
      <c r="D13" s="97" t="s">
        <v>315</v>
      </c>
      <c r="E13" s="94"/>
      <c r="F13" s="94"/>
      <c r="G13" s="94"/>
    </row>
    <row r="14" spans="1:7">
      <c r="A14" s="97" t="s">
        <v>4714</v>
      </c>
      <c r="B14" s="93">
        <v>0</v>
      </c>
      <c r="C14" s="93">
        <v>1000</v>
      </c>
      <c r="D14" s="97" t="s">
        <v>315</v>
      </c>
      <c r="E14" s="94"/>
      <c r="F14" s="94"/>
      <c r="G14" s="94"/>
    </row>
    <row r="15" spans="1:7">
      <c r="A15" s="97" t="s">
        <v>4700</v>
      </c>
      <c r="B15" s="93">
        <v>0</v>
      </c>
      <c r="C15" s="93">
        <v>1000</v>
      </c>
      <c r="D15" s="97" t="s">
        <v>315</v>
      </c>
      <c r="E15" s="94"/>
      <c r="F15" s="94"/>
      <c r="G15" s="94"/>
    </row>
    <row r="16" spans="1:7">
      <c r="A16" s="97" t="s">
        <v>957</v>
      </c>
      <c r="B16" s="93">
        <v>10200</v>
      </c>
      <c r="C16" s="93">
        <v>0</v>
      </c>
      <c r="D16" s="97" t="s">
        <v>4637</v>
      </c>
      <c r="E16" s="94"/>
      <c r="F16" s="94"/>
      <c r="G16" s="94"/>
    </row>
    <row r="17" spans="1:9">
      <c r="A17" s="97" t="s">
        <v>957</v>
      </c>
      <c r="B17" s="93">
        <v>0</v>
      </c>
      <c r="C17" s="93">
        <v>1500</v>
      </c>
      <c r="D17" s="97" t="s">
        <v>315</v>
      </c>
      <c r="E17" s="94"/>
      <c r="F17" s="94"/>
      <c r="G17" s="94"/>
    </row>
    <row r="18" spans="1:9">
      <c r="A18" s="97" t="s">
        <v>4719</v>
      </c>
      <c r="B18" s="93">
        <v>0</v>
      </c>
      <c r="C18" s="93">
        <v>1000</v>
      </c>
      <c r="D18" s="97" t="s">
        <v>315</v>
      </c>
      <c r="E18" s="94"/>
      <c r="F18" s="94"/>
      <c r="G18" s="94"/>
    </row>
    <row r="19" spans="1:9">
      <c r="A19" s="97" t="s">
        <v>4721</v>
      </c>
      <c r="B19" s="93">
        <v>0</v>
      </c>
      <c r="C19" s="93">
        <v>1000</v>
      </c>
      <c r="D19" s="97" t="s">
        <v>315</v>
      </c>
      <c r="E19" s="94"/>
      <c r="F19" s="94"/>
      <c r="G19" s="94"/>
    </row>
    <row r="20" spans="1:9">
      <c r="A20" s="97" t="s">
        <v>4723</v>
      </c>
      <c r="B20" s="93">
        <v>0</v>
      </c>
      <c r="C20" s="93">
        <v>1000</v>
      </c>
      <c r="D20" s="97" t="s">
        <v>315</v>
      </c>
      <c r="E20" s="94"/>
      <c r="F20" s="94"/>
      <c r="G20" s="94"/>
    </row>
    <row r="21" spans="1:9">
      <c r="A21" s="97" t="s">
        <v>4726</v>
      </c>
      <c r="B21" s="93">
        <v>0</v>
      </c>
      <c r="C21" s="93">
        <v>1000</v>
      </c>
      <c r="D21" s="97" t="s">
        <v>315</v>
      </c>
      <c r="E21" s="94"/>
      <c r="F21" s="94"/>
      <c r="G21" s="94"/>
    </row>
    <row r="22" spans="1:9">
      <c r="A22" s="97" t="s">
        <v>4726</v>
      </c>
      <c r="B22" s="93">
        <v>9600</v>
      </c>
      <c r="C22" s="93">
        <v>0</v>
      </c>
      <c r="D22" s="97" t="s">
        <v>4637</v>
      </c>
      <c r="E22" s="94"/>
      <c r="F22" s="94"/>
      <c r="G22" s="94"/>
      <c r="I22" t="s">
        <v>25</v>
      </c>
    </row>
    <row r="23" spans="1:9">
      <c r="A23" s="97" t="s">
        <v>4732</v>
      </c>
      <c r="B23" s="93">
        <v>0</v>
      </c>
      <c r="C23" s="93">
        <v>1000</v>
      </c>
      <c r="D23" s="97" t="s">
        <v>315</v>
      </c>
      <c r="E23" s="94"/>
      <c r="F23" s="94"/>
      <c r="G23" s="94"/>
    </row>
    <row r="24" spans="1:9">
      <c r="A24" s="97" t="s">
        <v>4737</v>
      </c>
      <c r="B24" s="93">
        <v>0</v>
      </c>
      <c r="C24" s="93">
        <v>1000</v>
      </c>
      <c r="D24" s="97" t="s">
        <v>315</v>
      </c>
      <c r="E24" s="94"/>
      <c r="F24" s="94"/>
      <c r="G24" s="94"/>
    </row>
    <row r="25" spans="1:9">
      <c r="A25" s="97" t="s">
        <v>4746</v>
      </c>
      <c r="B25" s="93">
        <v>0</v>
      </c>
      <c r="C25" s="93">
        <v>1000</v>
      </c>
      <c r="D25" s="97" t="s">
        <v>315</v>
      </c>
    </row>
    <row r="26" spans="1:9">
      <c r="A26" s="97" t="s">
        <v>4772</v>
      </c>
      <c r="B26" s="93">
        <v>0</v>
      </c>
      <c r="C26" s="93">
        <v>12000</v>
      </c>
      <c r="D26" s="97" t="s">
        <v>4779</v>
      </c>
    </row>
    <row r="27" spans="1:9">
      <c r="A27" s="97" t="s">
        <v>4773</v>
      </c>
      <c r="B27" s="93">
        <v>0</v>
      </c>
      <c r="C27" s="93">
        <v>1000</v>
      </c>
      <c r="D27" s="97" t="s">
        <v>315</v>
      </c>
    </row>
    <row r="28" spans="1:9">
      <c r="A28" s="97" t="s">
        <v>4780</v>
      </c>
      <c r="B28" s="93">
        <v>0</v>
      </c>
      <c r="C28" s="93">
        <v>1000</v>
      </c>
      <c r="D28" s="97" t="s">
        <v>315</v>
      </c>
    </row>
    <row r="29" spans="1:9">
      <c r="A29" s="97" t="s">
        <v>4781</v>
      </c>
      <c r="B29" s="93">
        <v>0</v>
      </c>
      <c r="C29" s="93">
        <v>1000</v>
      </c>
      <c r="D29" s="97" t="s">
        <v>315</v>
      </c>
    </row>
    <row r="30" spans="1:9">
      <c r="A30" s="97" t="s">
        <v>4782</v>
      </c>
      <c r="B30" s="93">
        <v>0</v>
      </c>
      <c r="C30" s="93">
        <v>5500</v>
      </c>
      <c r="D30" s="97" t="s">
        <v>4638</v>
      </c>
    </row>
    <row r="31" spans="1:9">
      <c r="A31" s="97" t="s">
        <v>4782</v>
      </c>
      <c r="B31" s="93">
        <v>11000</v>
      </c>
      <c r="C31" s="93">
        <v>0</v>
      </c>
      <c r="D31" s="97" t="s">
        <v>4637</v>
      </c>
    </row>
    <row r="32" spans="1:9">
      <c r="A32" s="97" t="s">
        <v>4790</v>
      </c>
      <c r="B32" s="93">
        <v>0</v>
      </c>
      <c r="C32" s="93">
        <v>1000</v>
      </c>
      <c r="D32" s="97" t="s">
        <v>315</v>
      </c>
      <c r="H32" t="s">
        <v>25</v>
      </c>
    </row>
    <row r="33" spans="1:10">
      <c r="A33" s="97" t="s">
        <v>4791</v>
      </c>
      <c r="B33" s="93">
        <v>0</v>
      </c>
      <c r="C33" s="93">
        <v>1000</v>
      </c>
      <c r="D33" s="97" t="s">
        <v>315</v>
      </c>
      <c r="H33" t="s">
        <v>25</v>
      </c>
    </row>
    <row r="34" spans="1:10">
      <c r="A34" s="97" t="s">
        <v>4793</v>
      </c>
      <c r="B34" s="93">
        <v>0</v>
      </c>
      <c r="C34" s="93">
        <v>1000</v>
      </c>
      <c r="D34" s="97" t="s">
        <v>315</v>
      </c>
    </row>
    <row r="35" spans="1:10">
      <c r="A35" s="97" t="s">
        <v>4794</v>
      </c>
      <c r="B35" s="93">
        <v>0</v>
      </c>
      <c r="C35" s="93">
        <v>1000</v>
      </c>
      <c r="D35" s="97" t="s">
        <v>315</v>
      </c>
      <c r="J35" t="s">
        <v>25</v>
      </c>
    </row>
    <row r="36" spans="1:10">
      <c r="A36" s="97" t="s">
        <v>4799</v>
      </c>
      <c r="B36" s="93">
        <v>1000</v>
      </c>
      <c r="C36" s="93">
        <v>0</v>
      </c>
      <c r="D36" s="97" t="s">
        <v>315</v>
      </c>
    </row>
    <row r="37" spans="1:10">
      <c r="A37" s="97" t="s">
        <v>4799</v>
      </c>
      <c r="B37" s="93">
        <v>0</v>
      </c>
      <c r="C37" s="93">
        <v>11200</v>
      </c>
      <c r="D37" s="97" t="s">
        <v>4637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4654</v>
      </c>
      <c r="B48" s="213">
        <v>6700</v>
      </c>
      <c r="C48" s="213">
        <v>0</v>
      </c>
      <c r="D48" s="23" t="s">
        <v>4657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0"/>
  <sheetViews>
    <sheetView zoomScaleNormal="100" workbookViewId="0">
      <selection activeCell="K7" sqref="K7"/>
    </sheetView>
  </sheetViews>
  <sheetFormatPr defaultRowHeight="15"/>
  <cols>
    <col min="1" max="1" width="31.140625" customWidth="1"/>
    <col min="2" max="2" width="21.570312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ht="15.75">
      <c r="A1" s="363" t="s">
        <v>4821</v>
      </c>
      <c r="B1" s="363" t="s">
        <v>4822</v>
      </c>
      <c r="C1" s="446" t="s">
        <v>6910</v>
      </c>
      <c r="D1" s="363" t="s">
        <v>6909</v>
      </c>
      <c r="E1" s="446" t="s">
        <v>6911</v>
      </c>
      <c r="F1" s="363" t="s">
        <v>6912</v>
      </c>
      <c r="G1" s="363" t="s">
        <v>6913</v>
      </c>
      <c r="H1" s="363" t="s">
        <v>6914</v>
      </c>
      <c r="I1" s="363" t="s">
        <v>6705</v>
      </c>
      <c r="J1" s="363" t="s">
        <v>4905</v>
      </c>
      <c r="K1" s="321">
        <v>72000000000</v>
      </c>
      <c r="L1" s="320"/>
      <c r="P1" t="s">
        <v>4825</v>
      </c>
      <c r="Q1" t="s">
        <v>4826</v>
      </c>
    </row>
    <row r="2" spans="1:24" ht="17.25">
      <c r="A2" s="453" t="s">
        <v>4823</v>
      </c>
      <c r="B2" s="454">
        <v>88414000000</v>
      </c>
      <c r="C2" s="455">
        <f>'سهام بنیادی'!B2</f>
        <v>25.67</v>
      </c>
      <c r="D2" s="455">
        <f>B2*C2/$K$1</f>
        <v>31.522046944444444</v>
      </c>
      <c r="E2" s="455">
        <f>'سهام بنیادی'!C2</f>
        <v>25.2</v>
      </c>
      <c r="F2" s="455">
        <f>B2*E2/$K$1</f>
        <v>30.944900000000001</v>
      </c>
      <c r="G2" s="455">
        <f>'سهام بنیادی'!D2</f>
        <v>37.799999999999997</v>
      </c>
      <c r="H2" s="455">
        <f>B2*G2/$K$1</f>
        <v>46.417349999999992</v>
      </c>
      <c r="I2" s="455">
        <f>'سهام بنیادی'!E2</f>
        <v>280</v>
      </c>
      <c r="J2" s="455">
        <f>B2*I2/$K$1</f>
        <v>343.83222222222224</v>
      </c>
      <c r="K2" s="320"/>
      <c r="L2" s="320"/>
    </row>
    <row r="3" spans="1:24" ht="34.5">
      <c r="A3" s="456" t="s">
        <v>6226</v>
      </c>
      <c r="B3" s="454">
        <v>3217000000</v>
      </c>
      <c r="C3" s="455">
        <f>'سهام بنیادی'!B46</f>
        <v>141</v>
      </c>
      <c r="D3" s="455">
        <f>B3*C3/$K$1</f>
        <v>6.2999583333333335</v>
      </c>
      <c r="E3" s="455">
        <f>'سهام بنیادی'!C46</f>
        <v>125</v>
      </c>
      <c r="F3" s="455">
        <f>B3*E3/$K$1</f>
        <v>5.5850694444444446</v>
      </c>
      <c r="G3" s="455">
        <f>'سهام بنیادی'!D46</f>
        <v>160</v>
      </c>
      <c r="H3" s="455">
        <f>B3*G3/$K$1</f>
        <v>7.1488888888888891</v>
      </c>
      <c r="I3" s="455">
        <f>'سهام بنیادی'!E46</f>
        <v>1244</v>
      </c>
      <c r="J3" s="455">
        <f>B3*I3/$K$1</f>
        <v>55.582611111111113</v>
      </c>
    </row>
    <row r="4" spans="1:24" ht="17.25">
      <c r="A4" s="453" t="s">
        <v>5834</v>
      </c>
      <c r="B4" s="454">
        <v>27416800780</v>
      </c>
      <c r="C4" s="457">
        <f>D26</f>
        <v>559.70801327393576</v>
      </c>
      <c r="D4" s="455">
        <f>B4*C4/$K$1</f>
        <v>213.13059854029294</v>
      </c>
      <c r="E4" s="453">
        <f>'سهام بنیادی'!C28</f>
        <v>353</v>
      </c>
      <c r="F4" s="455">
        <f>B4*E4/$K$1</f>
        <v>134.41848160194445</v>
      </c>
      <c r="G4" s="455">
        <f>H26</f>
        <v>807.22008381528394</v>
      </c>
      <c r="H4" s="455">
        <f>B4*G4/$K$1</f>
        <v>307.38044754970201</v>
      </c>
      <c r="I4" s="455">
        <f>J26</f>
        <v>4725.6396276791102</v>
      </c>
      <c r="J4" s="455">
        <f>B4*I4/$K$1</f>
        <v>1799.4711143076602</v>
      </c>
    </row>
    <row r="5" spans="1:24" ht="17.25">
      <c r="A5" s="456" t="s">
        <v>6879</v>
      </c>
      <c r="B5" s="454">
        <v>13000000000</v>
      </c>
      <c r="C5" s="455">
        <f>D51</f>
        <v>269.34551775153847</v>
      </c>
      <c r="D5" s="455">
        <f>B5*C5/$K$1</f>
        <v>48.631829594027778</v>
      </c>
      <c r="E5" s="455">
        <v>146</v>
      </c>
      <c r="F5" s="455">
        <f>B5*E5/$K$1</f>
        <v>26.361111111111111</v>
      </c>
      <c r="G5" s="455">
        <f>H51</f>
        <v>501.79700886430771</v>
      </c>
      <c r="H5" s="455">
        <f>B5*G5/$K$1</f>
        <v>90.60223771161111</v>
      </c>
      <c r="I5" s="455">
        <f>J51</f>
        <v>3807.6047641799996</v>
      </c>
      <c r="J5" s="455">
        <f>B5*I5/$K$1</f>
        <v>687.48419353249994</v>
      </c>
      <c r="M5" s="94"/>
      <c r="N5" s="94"/>
      <c r="O5" s="94"/>
      <c r="P5" s="94"/>
      <c r="Q5" s="94"/>
      <c r="R5" s="94"/>
      <c r="S5" s="94"/>
      <c r="T5" s="94"/>
      <c r="U5" s="94"/>
    </row>
    <row r="6" spans="1:24" ht="17.25">
      <c r="A6" s="456"/>
      <c r="B6" s="454"/>
      <c r="C6" s="455"/>
      <c r="D6" s="455"/>
      <c r="E6" s="455"/>
      <c r="F6" s="455"/>
      <c r="G6" s="455"/>
      <c r="H6" s="455"/>
      <c r="I6" s="455"/>
      <c r="J6" s="455"/>
      <c r="L6" s="323"/>
      <c r="M6" s="94"/>
      <c r="N6" s="94"/>
      <c r="O6" s="94"/>
      <c r="P6" s="94"/>
      <c r="Q6" s="94"/>
      <c r="R6" s="94"/>
      <c r="S6" s="94"/>
      <c r="T6" s="94"/>
      <c r="U6" s="94"/>
      <c r="V6" s="94"/>
      <c r="W6" s="94"/>
      <c r="X6" s="94"/>
    </row>
    <row r="7" spans="1:24" ht="17.25">
      <c r="A7" s="453" t="s">
        <v>5810</v>
      </c>
      <c r="B7" s="453"/>
      <c r="C7" s="453"/>
      <c r="D7" s="455">
        <v>29</v>
      </c>
      <c r="E7" s="453"/>
      <c r="F7" s="455">
        <v>12</v>
      </c>
      <c r="G7" s="455"/>
      <c r="H7" s="455">
        <v>45</v>
      </c>
      <c r="I7" s="455" t="s">
        <v>5392</v>
      </c>
      <c r="J7" s="455">
        <v>370</v>
      </c>
      <c r="K7" s="94"/>
      <c r="L7" s="323"/>
      <c r="M7" s="94"/>
      <c r="N7" s="94"/>
      <c r="O7" s="94"/>
      <c r="P7" s="94"/>
      <c r="Q7" s="94"/>
      <c r="R7" s="94"/>
      <c r="S7" s="94"/>
      <c r="T7" s="94"/>
      <c r="U7" s="94"/>
      <c r="V7" s="94"/>
      <c r="W7" s="94"/>
      <c r="X7" s="94"/>
    </row>
    <row r="8" spans="1:24" ht="17.25">
      <c r="A8" s="453" t="s">
        <v>6901</v>
      </c>
      <c r="B8" s="453"/>
      <c r="C8" s="453"/>
      <c r="D8" s="455">
        <v>28</v>
      </c>
      <c r="E8" s="455"/>
      <c r="F8" s="455">
        <v>15</v>
      </c>
      <c r="G8" s="455"/>
      <c r="H8" s="455">
        <v>50</v>
      </c>
      <c r="I8" s="455" t="s">
        <v>5590</v>
      </c>
      <c r="J8" s="455">
        <v>230</v>
      </c>
      <c r="K8" s="94"/>
      <c r="L8" s="323" t="s">
        <v>25</v>
      </c>
      <c r="M8" s="94"/>
      <c r="N8" s="94"/>
      <c r="O8" s="94"/>
      <c r="P8" s="94"/>
      <c r="Q8" s="94"/>
      <c r="R8" s="94"/>
      <c r="S8" s="94"/>
      <c r="T8" s="94"/>
      <c r="U8" s="94"/>
      <c r="V8" s="94"/>
      <c r="W8" s="94"/>
      <c r="X8" s="94"/>
    </row>
    <row r="9" spans="1:24" ht="17.25">
      <c r="A9" s="453"/>
      <c r="B9" s="453"/>
      <c r="C9" s="453"/>
      <c r="D9" s="453">
        <f>B9*C9*$K$16/$K$1</f>
        <v>0</v>
      </c>
      <c r="E9" s="453"/>
      <c r="F9" s="453"/>
      <c r="G9" s="453"/>
      <c r="H9" s="453"/>
      <c r="I9" s="455" t="s">
        <v>5393</v>
      </c>
      <c r="J9" s="455">
        <v>140</v>
      </c>
      <c r="K9" s="94"/>
      <c r="L9" s="323"/>
      <c r="M9" s="94"/>
      <c r="N9" s="94"/>
      <c r="O9" s="94"/>
      <c r="P9" s="94"/>
      <c r="Q9" s="94"/>
      <c r="R9" s="94"/>
      <c r="S9" s="94"/>
      <c r="T9" s="94"/>
      <c r="U9" s="94"/>
      <c r="V9" s="94"/>
    </row>
    <row r="10" spans="1:24" ht="17.25">
      <c r="A10" s="453"/>
      <c r="B10" s="453"/>
      <c r="C10" s="453"/>
      <c r="D10" s="455">
        <f>SUM(D2:D9)</f>
        <v>356.58443341209852</v>
      </c>
      <c r="E10" s="453"/>
      <c r="F10" s="455">
        <f>SUM(F2:F8)</f>
        <v>224.30956215750001</v>
      </c>
      <c r="G10" s="453"/>
      <c r="H10" s="455">
        <f>SUM(H2:H9)</f>
        <v>546.54892415020208</v>
      </c>
      <c r="I10" s="453" t="s">
        <v>4432</v>
      </c>
      <c r="J10" s="455">
        <f>SUM(J2:J9)</f>
        <v>3626.3701411734933</v>
      </c>
      <c r="K10" s="94"/>
      <c r="L10" s="323"/>
      <c r="M10" s="94"/>
      <c r="N10" s="94"/>
      <c r="O10" s="94"/>
      <c r="P10" s="94"/>
      <c r="Q10" s="94"/>
      <c r="R10" s="94"/>
      <c r="S10" s="94"/>
      <c r="T10" s="94"/>
      <c r="U10" s="94"/>
      <c r="V10" s="94"/>
    </row>
    <row r="11" spans="1:24" ht="17.25">
      <c r="A11" s="453"/>
      <c r="B11" s="453"/>
      <c r="C11" s="453"/>
      <c r="D11" s="453" t="s">
        <v>6820</v>
      </c>
      <c r="E11" s="453"/>
      <c r="F11" s="453" t="s">
        <v>6390</v>
      </c>
      <c r="G11" s="453"/>
      <c r="H11" s="453" t="s">
        <v>6706</v>
      </c>
      <c r="I11" s="453" t="s">
        <v>5007</v>
      </c>
      <c r="J11" s="455">
        <f>'سهام بنیادی'!E30</f>
        <v>1328</v>
      </c>
      <c r="K11" s="94"/>
      <c r="L11" s="323"/>
      <c r="M11" s="94"/>
      <c r="N11" s="94"/>
      <c r="O11" s="94"/>
      <c r="P11" s="94"/>
      <c r="Q11" s="94"/>
      <c r="R11" s="94"/>
      <c r="S11" s="94"/>
      <c r="T11" s="94"/>
      <c r="U11" s="94"/>
      <c r="V11" s="94"/>
    </row>
    <row r="12" spans="1:24" ht="17.25">
      <c r="A12" s="453"/>
      <c r="B12" s="453"/>
      <c r="C12" s="453"/>
      <c r="D12" s="453"/>
      <c r="E12" s="453"/>
      <c r="F12" s="453"/>
      <c r="G12" s="453" t="s">
        <v>6915</v>
      </c>
      <c r="H12" s="453">
        <f>F10*H10/D10</f>
        <v>343.80679128553612</v>
      </c>
      <c r="I12" s="453" t="s">
        <v>5008</v>
      </c>
      <c r="J12" s="453">
        <f>J11/J10</f>
        <v>0.36620641255618192</v>
      </c>
      <c r="K12" s="94"/>
      <c r="L12" s="323"/>
      <c r="M12" s="94"/>
      <c r="N12" s="94"/>
      <c r="O12" s="94"/>
      <c r="P12" s="94"/>
      <c r="Q12" s="94"/>
      <c r="R12" s="94"/>
      <c r="S12" s="94"/>
      <c r="T12" s="94"/>
      <c r="U12" s="94"/>
      <c r="V12" s="94"/>
    </row>
    <row r="13" spans="1:24">
      <c r="K13" s="94"/>
      <c r="L13" s="323"/>
      <c r="M13" s="94"/>
      <c r="N13" s="94"/>
      <c r="O13" s="94"/>
      <c r="P13" s="94"/>
      <c r="Q13" s="94" t="s">
        <v>25</v>
      </c>
      <c r="R13" s="94"/>
      <c r="S13" s="94"/>
      <c r="T13" s="94"/>
      <c r="U13" s="94"/>
      <c r="V13" s="94"/>
    </row>
    <row r="14" spans="1:24" ht="15.75">
      <c r="A14" s="363" t="s">
        <v>6899</v>
      </c>
      <c r="B14" s="363" t="s">
        <v>4822</v>
      </c>
      <c r="C14" s="446" t="s">
        <v>6904</v>
      </c>
      <c r="D14" s="363" t="s">
        <v>6905</v>
      </c>
      <c r="E14" s="446" t="s">
        <v>6906</v>
      </c>
      <c r="F14" s="363" t="s">
        <v>6907</v>
      </c>
      <c r="G14" s="363" t="s">
        <v>6908</v>
      </c>
      <c r="H14" s="363" t="s">
        <v>6905</v>
      </c>
      <c r="I14" s="363" t="s">
        <v>4245</v>
      </c>
      <c r="J14" s="363" t="s">
        <v>4905</v>
      </c>
      <c r="K14" s="321">
        <v>40500000000</v>
      </c>
      <c r="M14" s="94"/>
      <c r="N14" s="94"/>
      <c r="O14" s="94"/>
      <c r="P14" s="94"/>
      <c r="Q14" s="94"/>
      <c r="R14" s="94"/>
      <c r="S14" s="94"/>
      <c r="T14" s="94"/>
      <c r="U14" s="94"/>
      <c r="V14" s="94"/>
    </row>
    <row r="15" spans="1:24" ht="17.25">
      <c r="A15" s="450" t="s">
        <v>4823</v>
      </c>
      <c r="B15" s="451">
        <v>89305000000</v>
      </c>
      <c r="C15" s="452">
        <f>'سهام بنیادی'!B2</f>
        <v>25.67</v>
      </c>
      <c r="D15" s="452">
        <f t="shared" ref="D15:D23" si="0">B15*C15/$K$14</f>
        <v>56.603934567901234</v>
      </c>
      <c r="E15" s="452">
        <f>'سهام بنیادی'!C2</f>
        <v>25.2</v>
      </c>
      <c r="F15" s="452">
        <f t="shared" ref="F15:F23" si="1">B15*E15/$K$14</f>
        <v>55.567555555555558</v>
      </c>
      <c r="G15" s="452">
        <f>'سهام بنیادی'!D2</f>
        <v>37.799999999999997</v>
      </c>
      <c r="H15" s="452">
        <f t="shared" ref="H15:H23" si="2">B15*G15/$K$14</f>
        <v>83.351333333333315</v>
      </c>
      <c r="I15" s="452">
        <f>'سهام بنیادی'!E2</f>
        <v>280</v>
      </c>
      <c r="J15" s="452">
        <f t="shared" ref="J15:J23" si="3">B15*I15/$K$14</f>
        <v>617.41728395061727</v>
      </c>
      <c r="N15" s="94"/>
      <c r="O15" s="94"/>
      <c r="P15" s="94"/>
      <c r="Q15" s="94"/>
      <c r="R15" s="94"/>
      <c r="S15" s="94"/>
      <c r="T15" s="94"/>
      <c r="U15" s="94"/>
    </row>
    <row r="16" spans="1:24" ht="17.25">
      <c r="A16" s="450" t="s">
        <v>6362</v>
      </c>
      <c r="B16" s="451">
        <v>556303872</v>
      </c>
      <c r="C16" s="452">
        <f>'سهام بنیادی'!B15</f>
        <v>2017</v>
      </c>
      <c r="D16" s="452">
        <f t="shared" si="0"/>
        <v>27.705306415407406</v>
      </c>
      <c r="E16" s="452">
        <f>'سهام بنیادی'!C15</f>
        <v>1413</v>
      </c>
      <c r="F16" s="452">
        <f t="shared" si="1"/>
        <v>19.408823978666668</v>
      </c>
      <c r="G16" s="452">
        <f>'سهام بنیادی'!D15</f>
        <v>2243</v>
      </c>
      <c r="H16" s="452">
        <f t="shared" si="2"/>
        <v>30.809619380148149</v>
      </c>
      <c r="I16" s="452">
        <f>'سهام بنیادی'!E15</f>
        <v>14455</v>
      </c>
      <c r="J16" s="452">
        <f t="shared" si="3"/>
        <v>198.55240666074073</v>
      </c>
      <c r="N16" s="94"/>
      <c r="O16" s="94"/>
      <c r="P16" s="94"/>
      <c r="Q16" s="94" t="s">
        <v>25</v>
      </c>
      <c r="R16" s="94"/>
      <c r="S16" s="94"/>
      <c r="T16" s="94"/>
      <c r="U16" s="94"/>
    </row>
    <row r="17" spans="1:34" ht="17.25">
      <c r="A17" s="450" t="s">
        <v>6361</v>
      </c>
      <c r="B17" s="451">
        <v>20476832589</v>
      </c>
      <c r="C17" s="452">
        <f>'سهام بنیادی'!B13</f>
        <v>100</v>
      </c>
      <c r="D17" s="452">
        <f t="shared" si="0"/>
        <v>50.560080466666669</v>
      </c>
      <c r="E17" s="452">
        <f>'سهام بنیادی'!C13</f>
        <v>82</v>
      </c>
      <c r="F17" s="452">
        <f t="shared" si="1"/>
        <v>41.459265982666665</v>
      </c>
      <c r="G17" s="452">
        <f>'سهام بنیادی'!D13</f>
        <v>140</v>
      </c>
      <c r="H17" s="452">
        <f t="shared" si="2"/>
        <v>70.784112653333338</v>
      </c>
      <c r="I17" s="452">
        <f>'سهام بنیادی'!E13</f>
        <v>823</v>
      </c>
      <c r="J17" s="452">
        <f t="shared" si="3"/>
        <v>416.10946224066669</v>
      </c>
      <c r="K17" s="94"/>
      <c r="L17" s="94" t="s">
        <v>25</v>
      </c>
      <c r="M17" s="94"/>
      <c r="N17" s="94"/>
      <c r="O17" s="94"/>
      <c r="P17" s="94"/>
      <c r="Q17" s="94"/>
      <c r="R17" s="94"/>
      <c r="S17" s="94"/>
      <c r="T17" s="94"/>
      <c r="U17" s="94"/>
      <c r="V17" s="94"/>
      <c r="W17" s="94"/>
      <c r="X17" s="94"/>
      <c r="Y17" s="94"/>
      <c r="Z17" s="94"/>
      <c r="AA17" s="94"/>
      <c r="AB17" s="94"/>
      <c r="AC17" s="94"/>
      <c r="AD17" s="94"/>
      <c r="AE17" s="94"/>
    </row>
    <row r="18" spans="1:34" ht="17.25">
      <c r="A18" s="450" t="s">
        <v>4827</v>
      </c>
      <c r="B18" s="451">
        <v>4127266661</v>
      </c>
      <c r="C18" s="452">
        <f>'سهام بنیادی'!B3</f>
        <v>2100</v>
      </c>
      <c r="D18" s="452">
        <f t="shared" si="0"/>
        <v>214.00641945925926</v>
      </c>
      <c r="E18" s="452">
        <f>'سهام بنیادی'!C3</f>
        <v>1350</v>
      </c>
      <c r="F18" s="452">
        <f t="shared" si="1"/>
        <v>137.57555536666666</v>
      </c>
      <c r="G18" s="452">
        <f>'سهام بنیادی'!D3</f>
        <v>3600</v>
      </c>
      <c r="H18" s="452">
        <f t="shared" si="2"/>
        <v>366.86814764444443</v>
      </c>
      <c r="I18" s="452">
        <f>'سهام بنیادی'!E3</f>
        <v>16501</v>
      </c>
      <c r="J18" s="452">
        <f t="shared" si="3"/>
        <v>1681.5809178558272</v>
      </c>
      <c r="K18" s="94"/>
      <c r="L18" s="94"/>
      <c r="M18" s="94"/>
      <c r="N18" s="94"/>
      <c r="O18" s="94"/>
      <c r="P18" s="94"/>
      <c r="Q18" s="94"/>
      <c r="R18" s="94"/>
      <c r="S18" s="94"/>
      <c r="T18" s="94"/>
      <c r="U18" s="94"/>
      <c r="V18" s="94"/>
      <c r="W18" s="94"/>
      <c r="X18" s="94"/>
      <c r="Y18" s="94"/>
      <c r="Z18" s="94"/>
      <c r="AA18" s="94"/>
      <c r="AB18" s="94"/>
      <c r="AC18" s="94"/>
      <c r="AD18" s="94"/>
    </row>
    <row r="19" spans="1:34" ht="17.25">
      <c r="A19" s="450" t="s">
        <v>4828</v>
      </c>
      <c r="B19" s="451">
        <v>2693179034</v>
      </c>
      <c r="C19" s="452">
        <f>'سهام بنیادی'!B4</f>
        <v>608.1</v>
      </c>
      <c r="D19" s="452">
        <f t="shared" si="0"/>
        <v>40.437584458651855</v>
      </c>
      <c r="E19" s="452">
        <f>'سهام بنیادی'!C4</f>
        <v>122</v>
      </c>
      <c r="F19" s="452">
        <f t="shared" si="1"/>
        <v>8.112786225876544</v>
      </c>
      <c r="G19" s="452">
        <f>'سهام بنیادی'!D4</f>
        <v>750</v>
      </c>
      <c r="H19" s="452">
        <f t="shared" si="2"/>
        <v>49.873685814814813</v>
      </c>
      <c r="I19" s="452">
        <f>'سهام بنیادی'!E4</f>
        <v>6934</v>
      </c>
      <c r="J19" s="452">
        <f t="shared" si="3"/>
        <v>461.09884991990123</v>
      </c>
      <c r="K19" s="94"/>
      <c r="L19" s="94"/>
      <c r="M19" s="94"/>
      <c r="N19" s="94"/>
      <c r="O19" s="94"/>
      <c r="P19" s="94"/>
      <c r="Q19" s="94"/>
      <c r="R19" s="94"/>
      <c r="S19" s="94"/>
      <c r="T19" s="94"/>
      <c r="U19" s="94"/>
      <c r="V19" s="94"/>
      <c r="W19" s="94"/>
      <c r="X19" s="94"/>
      <c r="Y19" s="94"/>
      <c r="Z19" s="94"/>
      <c r="AA19" s="94"/>
      <c r="AB19" s="94"/>
      <c r="AC19" s="94"/>
      <c r="AD19" s="94"/>
    </row>
    <row r="20" spans="1:34" ht="17.25">
      <c r="A20" s="450" t="s">
        <v>6363</v>
      </c>
      <c r="B20" s="451">
        <v>4953996962</v>
      </c>
      <c r="C20" s="452">
        <f>'سهام بنیادی'!B14</f>
        <v>556</v>
      </c>
      <c r="D20" s="452">
        <f t="shared" si="0"/>
        <v>68.010427428938272</v>
      </c>
      <c r="E20" s="452">
        <f>'سهام بنیادی'!C14</f>
        <v>417.5</v>
      </c>
      <c r="F20" s="452">
        <f t="shared" si="1"/>
        <v>51.068981028024695</v>
      </c>
      <c r="G20" s="452">
        <f>'سهام بنیادی'!D14</f>
        <v>600</v>
      </c>
      <c r="H20" s="452">
        <f t="shared" si="2"/>
        <v>73.392547585185184</v>
      </c>
      <c r="I20" s="452">
        <f>'سهام بنیادی'!E14</f>
        <v>4245</v>
      </c>
      <c r="J20" s="452">
        <f t="shared" si="3"/>
        <v>519.25227416518521</v>
      </c>
      <c r="K20" s="94"/>
      <c r="L20" s="94"/>
      <c r="M20" s="94"/>
      <c r="N20" s="94"/>
      <c r="O20" s="94"/>
      <c r="P20" s="94"/>
      <c r="Q20" s="94"/>
      <c r="R20" s="94"/>
      <c r="S20" s="94"/>
      <c r="T20" s="94"/>
      <c r="U20" s="94"/>
      <c r="V20" s="94"/>
      <c r="W20" s="94"/>
      <c r="X20" s="94"/>
      <c r="Y20" s="94"/>
      <c r="Z20" s="94"/>
      <c r="AA20" s="94"/>
      <c r="AB20" s="94"/>
      <c r="AC20" s="94"/>
      <c r="AD20" s="94"/>
    </row>
    <row r="21" spans="1:34" ht="17.25">
      <c r="A21" s="450" t="s">
        <v>5480</v>
      </c>
      <c r="B21" s="451">
        <v>1636875595</v>
      </c>
      <c r="C21" s="452">
        <f>'سهام بنیادی'!B5</f>
        <v>352</v>
      </c>
      <c r="D21" s="452">
        <f t="shared" si="0"/>
        <v>14.226671838024691</v>
      </c>
      <c r="E21" s="452">
        <f>'سهام بنیادی'!C5</f>
        <v>110</v>
      </c>
      <c r="F21" s="452">
        <f t="shared" si="1"/>
        <v>4.4458349493827161</v>
      </c>
      <c r="G21" s="452">
        <f>'سهام بنیادی'!D5</f>
        <v>1113</v>
      </c>
      <c r="H21" s="452">
        <f t="shared" si="2"/>
        <v>44.983766351481485</v>
      </c>
      <c r="I21" s="452">
        <f>'سهام بنیادی'!E5</f>
        <v>6480</v>
      </c>
      <c r="J21" s="452">
        <f t="shared" si="3"/>
        <v>261.90009520000001</v>
      </c>
      <c r="K21" s="94"/>
      <c r="L21" s="94"/>
      <c r="M21" t="s">
        <v>25</v>
      </c>
      <c r="N21" s="94"/>
      <c r="O21" s="94"/>
      <c r="P21" s="94"/>
      <c r="Q21" s="94"/>
      <c r="R21" s="94"/>
      <c r="S21" s="94"/>
      <c r="T21" s="94"/>
      <c r="U21" s="94"/>
    </row>
    <row r="22" spans="1:34" ht="17.25">
      <c r="A22" s="450" t="s">
        <v>4358</v>
      </c>
      <c r="B22" s="451">
        <v>813683684</v>
      </c>
      <c r="C22" s="452">
        <f>'سهام بنیادی'!B6</f>
        <v>2412</v>
      </c>
      <c r="D22" s="452">
        <f t="shared" si="0"/>
        <v>48.459383847111113</v>
      </c>
      <c r="E22" s="452">
        <f>'سهام بنیادی'!C6</f>
        <v>2300</v>
      </c>
      <c r="F22" s="452">
        <f t="shared" si="1"/>
        <v>46.209196869135802</v>
      </c>
      <c r="G22" s="452">
        <f>'سهام بنیادی'!D6</f>
        <v>1267</v>
      </c>
      <c r="H22" s="452">
        <f t="shared" si="2"/>
        <v>25.45524018834568</v>
      </c>
      <c r="I22" s="452">
        <f>'سهام بنیادی'!E6</f>
        <v>19935</v>
      </c>
      <c r="J22" s="452">
        <f t="shared" si="3"/>
        <v>400.51319112444446</v>
      </c>
      <c r="K22" s="94"/>
      <c r="L22" s="94"/>
      <c r="N22" s="94"/>
      <c r="O22" s="94"/>
      <c r="P22" s="94"/>
      <c r="Q22" s="94"/>
      <c r="R22" s="94"/>
      <c r="S22" s="94"/>
      <c r="T22" s="94"/>
      <c r="U22" s="94"/>
    </row>
    <row r="23" spans="1:34" ht="17.25">
      <c r="A23" s="450" t="s">
        <v>4829</v>
      </c>
      <c r="B23" s="451">
        <v>236958025</v>
      </c>
      <c r="C23" s="452">
        <f>'سهام بنیادی'!B7</f>
        <v>803</v>
      </c>
      <c r="D23" s="452">
        <f t="shared" si="0"/>
        <v>4.6982047919753089</v>
      </c>
      <c r="E23" s="452">
        <f>'سهام بنیادی'!C7</f>
        <v>590</v>
      </c>
      <c r="F23" s="452">
        <f t="shared" si="1"/>
        <v>3.4519811049382718</v>
      </c>
      <c r="G23" s="452">
        <f>'سهام بنیادی'!D7</f>
        <v>2000</v>
      </c>
      <c r="H23" s="452">
        <f t="shared" si="2"/>
        <v>11.701630864197531</v>
      </c>
      <c r="I23" s="452">
        <f>'سهام بنیادی'!E7</f>
        <v>11830</v>
      </c>
      <c r="J23" s="452">
        <f t="shared" si="3"/>
        <v>69.215146561728389</v>
      </c>
      <c r="M23" t="s">
        <v>25</v>
      </c>
    </row>
    <row r="24" spans="1:34" ht="17.25">
      <c r="A24" s="450" t="s">
        <v>6900</v>
      </c>
      <c r="B24" s="451"/>
      <c r="C24" s="452"/>
      <c r="D24" s="452">
        <v>35</v>
      </c>
      <c r="E24" s="452"/>
      <c r="F24" s="452">
        <v>24</v>
      </c>
      <c r="G24" s="452"/>
      <c r="H24" s="452">
        <v>50</v>
      </c>
      <c r="I24" s="452"/>
      <c r="J24" s="452">
        <v>100</v>
      </c>
      <c r="K24" s="440"/>
      <c r="AD24" t="s">
        <v>25</v>
      </c>
    </row>
    <row r="25" spans="1:34">
      <c r="A25" s="447"/>
      <c r="B25" s="448"/>
      <c r="C25" s="449"/>
      <c r="D25" s="449"/>
      <c r="E25" s="449"/>
      <c r="F25" s="449"/>
      <c r="G25" s="449"/>
      <c r="H25" s="449"/>
      <c r="I25" s="449"/>
      <c r="J25" s="449"/>
      <c r="K25" s="440"/>
      <c r="L25" t="s">
        <v>25</v>
      </c>
      <c r="T25" t="s">
        <v>25</v>
      </c>
    </row>
    <row r="26" spans="1:34">
      <c r="A26" s="242"/>
      <c r="B26" s="321"/>
      <c r="C26" s="322"/>
      <c r="D26" s="322">
        <f>SUM(D15:D24)</f>
        <v>559.70801327393576</v>
      </c>
      <c r="E26" s="322"/>
      <c r="F26" s="322">
        <f>SUM(F15:F24)</f>
        <v>391.29998106091358</v>
      </c>
      <c r="G26" s="322"/>
      <c r="H26" s="322">
        <f>SUM(H15:H24)</f>
        <v>807.22008381528394</v>
      </c>
      <c r="I26" s="322"/>
      <c r="J26" s="322">
        <f>SUM(J15:J24)</f>
        <v>4725.6396276791102</v>
      </c>
      <c r="K26" s="440"/>
      <c r="N26" t="s">
        <v>25</v>
      </c>
    </row>
    <row r="27" spans="1:34">
      <c r="A27" s="242"/>
      <c r="B27" s="321"/>
      <c r="C27" s="322"/>
      <c r="D27" s="322" t="s">
        <v>6820</v>
      </c>
      <c r="E27" s="322"/>
      <c r="F27" s="322" t="s">
        <v>6390</v>
      </c>
      <c r="G27" s="322"/>
      <c r="H27" s="322">
        <f>F26*H26/D26</f>
        <v>564.3392555009159</v>
      </c>
      <c r="I27" s="322"/>
      <c r="J27" s="322" t="s">
        <v>4531</v>
      </c>
      <c r="K27" s="440"/>
      <c r="L27" s="94"/>
    </row>
    <row r="28" spans="1:34">
      <c r="A28" s="94"/>
      <c r="B28" s="94"/>
      <c r="E28" s="94"/>
      <c r="F28" s="94"/>
      <c r="G28" s="94"/>
      <c r="H28" s="94"/>
      <c r="I28" s="94"/>
      <c r="J28" s="94"/>
      <c r="K28" s="440"/>
      <c r="L28" s="94"/>
    </row>
    <row r="29" spans="1:34">
      <c r="A29" s="256" t="s">
        <v>6225</v>
      </c>
      <c r="B29" s="256" t="s">
        <v>4822</v>
      </c>
      <c r="C29" s="256" t="s">
        <v>6219</v>
      </c>
      <c r="D29" s="256" t="s">
        <v>5509</v>
      </c>
      <c r="E29" s="256" t="s">
        <v>6218</v>
      </c>
      <c r="F29" s="256" t="s">
        <v>6228</v>
      </c>
      <c r="H29" s="94"/>
      <c r="I29" s="94"/>
      <c r="J29" s="94"/>
      <c r="K29" s="440"/>
      <c r="L29" s="94"/>
    </row>
    <row r="30" spans="1:34">
      <c r="A30" s="256" t="s">
        <v>6217</v>
      </c>
      <c r="B30" s="256">
        <v>880639000</v>
      </c>
      <c r="C30" s="256">
        <v>110</v>
      </c>
      <c r="D30" s="256">
        <f t="shared" ref="D30:D36" si="4">B30*C30/$K$1</f>
        <v>1.3454206944444445</v>
      </c>
      <c r="E30" s="256">
        <v>952</v>
      </c>
      <c r="F30" s="256">
        <f t="shared" ref="F30:F36" si="5">B30*E30/$K$1</f>
        <v>11.644004555555556</v>
      </c>
      <c r="H30" s="112"/>
      <c r="I30" s="94"/>
      <c r="J30" s="94"/>
      <c r="K30" s="440" t="s">
        <v>25</v>
      </c>
      <c r="L30" s="94"/>
    </row>
    <row r="31" spans="1:34">
      <c r="A31" s="256" t="s">
        <v>6220</v>
      </c>
      <c r="B31" s="256">
        <v>1175000000</v>
      </c>
      <c r="C31" s="256">
        <v>30</v>
      </c>
      <c r="D31" s="256">
        <f t="shared" si="4"/>
        <v>0.48958333333333331</v>
      </c>
      <c r="E31" s="256">
        <v>628</v>
      </c>
      <c r="F31" s="256">
        <f t="shared" si="5"/>
        <v>10.248611111111112</v>
      </c>
      <c r="H31" s="94"/>
      <c r="I31" s="94"/>
      <c r="J31" s="94"/>
      <c r="K31" s="440"/>
      <c r="L31" s="94"/>
      <c r="U31" s="94"/>
      <c r="V31" s="94"/>
      <c r="W31" s="421"/>
      <c r="X31" s="421"/>
      <c r="Y31" s="421"/>
      <c r="Z31" s="421"/>
      <c r="AA31" s="421"/>
      <c r="AB31" s="421"/>
      <c r="AC31" s="421"/>
      <c r="AD31" s="421"/>
      <c r="AE31" s="421"/>
      <c r="AF31" s="421"/>
      <c r="AH31" t="s">
        <v>25</v>
      </c>
    </row>
    <row r="32" spans="1:34">
      <c r="A32" s="256" t="s">
        <v>6221</v>
      </c>
      <c r="B32" s="256">
        <v>1120000000</v>
      </c>
      <c r="C32" s="256">
        <v>100</v>
      </c>
      <c r="D32" s="256">
        <f t="shared" si="4"/>
        <v>1.5555555555555556</v>
      </c>
      <c r="E32" s="256">
        <v>893</v>
      </c>
      <c r="F32" s="256">
        <f t="shared" si="5"/>
        <v>13.891111111111112</v>
      </c>
      <c r="H32" s="94"/>
      <c r="I32" s="94"/>
      <c r="J32" s="94"/>
      <c r="K32" s="440"/>
      <c r="L32" s="94"/>
      <c r="U32" s="94"/>
      <c r="V32" s="94"/>
      <c r="W32" s="421"/>
      <c r="X32" s="421"/>
      <c r="Y32" s="421"/>
      <c r="Z32" s="421"/>
      <c r="AA32" s="421"/>
      <c r="AB32" s="421"/>
      <c r="AC32" s="421"/>
      <c r="AD32" s="421"/>
      <c r="AE32" s="421"/>
      <c r="AF32" s="421"/>
    </row>
    <row r="33" spans="1:36">
      <c r="A33" s="256" t="s">
        <v>6222</v>
      </c>
      <c r="B33" s="256">
        <v>468000000</v>
      </c>
      <c r="C33" s="256">
        <v>180</v>
      </c>
      <c r="D33" s="256">
        <f t="shared" si="4"/>
        <v>1.17</v>
      </c>
      <c r="E33" s="256">
        <v>4566</v>
      </c>
      <c r="F33" s="256">
        <f t="shared" si="5"/>
        <v>29.678999999999998</v>
      </c>
      <c r="H33" s="94"/>
      <c r="I33" s="94"/>
      <c r="J33" s="94"/>
      <c r="K33" s="440"/>
      <c r="L33" s="94"/>
      <c r="U33" s="94"/>
      <c r="V33" s="94"/>
      <c r="W33" s="421"/>
      <c r="X33" s="421"/>
      <c r="Y33" s="421"/>
      <c r="Z33" s="421"/>
      <c r="AA33" s="421"/>
      <c r="AB33" s="421"/>
      <c r="AC33" s="421"/>
      <c r="AD33" s="421"/>
      <c r="AE33" s="421"/>
      <c r="AF33" s="421"/>
    </row>
    <row r="34" spans="1:36">
      <c r="A34" s="256" t="s">
        <v>6223</v>
      </c>
      <c r="B34" s="256">
        <v>393000000</v>
      </c>
      <c r="C34" s="402">
        <v>185</v>
      </c>
      <c r="D34" s="256">
        <f t="shared" si="4"/>
        <v>1.0097916666666666</v>
      </c>
      <c r="E34" s="256">
        <v>1573</v>
      </c>
      <c r="F34" s="256">
        <f t="shared" si="5"/>
        <v>8.585958333333334</v>
      </c>
      <c r="H34" s="94"/>
      <c r="I34" s="94" t="s">
        <v>25</v>
      </c>
      <c r="J34" s="94"/>
      <c r="K34" s="440"/>
      <c r="L34" s="94"/>
      <c r="U34" s="94"/>
      <c r="V34" s="94"/>
      <c r="W34" s="421"/>
      <c r="X34" s="421"/>
      <c r="Y34" s="421"/>
      <c r="Z34" s="421"/>
      <c r="AA34" s="421"/>
      <c r="AB34" s="421"/>
      <c r="AC34" s="421"/>
      <c r="AD34" s="421"/>
      <c r="AE34" s="421"/>
      <c r="AF34" s="421"/>
      <c r="AG34" t="s">
        <v>25</v>
      </c>
    </row>
    <row r="35" spans="1:36">
      <c r="A35" s="256" t="s">
        <v>6224</v>
      </c>
      <c r="B35" s="256">
        <v>4360000</v>
      </c>
      <c r="C35" s="256">
        <v>347</v>
      </c>
      <c r="D35" s="256">
        <f t="shared" si="4"/>
        <v>2.1012777777777776E-2</v>
      </c>
      <c r="E35" s="256">
        <v>11399</v>
      </c>
      <c r="F35" s="256">
        <f t="shared" si="5"/>
        <v>0.69027277777777774</v>
      </c>
      <c r="H35" s="94" t="s">
        <v>25</v>
      </c>
      <c r="I35" s="94"/>
      <c r="J35" s="94"/>
      <c r="K35" s="440"/>
      <c r="L35" s="94"/>
      <c r="U35" s="94"/>
      <c r="V35" s="94"/>
      <c r="W35" s="421"/>
      <c r="X35" s="421"/>
      <c r="Y35" s="421"/>
      <c r="Z35" s="421"/>
      <c r="AA35" s="421"/>
      <c r="AB35" s="421"/>
      <c r="AC35" s="421"/>
      <c r="AD35" s="421"/>
      <c r="AE35" s="421"/>
      <c r="AF35" s="421"/>
    </row>
    <row r="36" spans="1:36">
      <c r="A36" s="256" t="s">
        <v>6227</v>
      </c>
      <c r="B36" s="256">
        <v>1</v>
      </c>
      <c r="C36" s="256">
        <v>80000000000</v>
      </c>
      <c r="D36" s="256">
        <f t="shared" si="4"/>
        <v>1.1111111111111112</v>
      </c>
      <c r="E36" s="256">
        <v>703000000000</v>
      </c>
      <c r="F36" s="256">
        <f t="shared" si="5"/>
        <v>9.7638888888888893</v>
      </c>
      <c r="G36" s="94"/>
      <c r="H36" s="94"/>
      <c r="I36" s="94"/>
      <c r="J36" s="94"/>
      <c r="K36" s="440"/>
      <c r="L36" s="94"/>
      <c r="U36" s="94"/>
      <c r="V36" s="94"/>
      <c r="W36" s="421"/>
      <c r="X36" s="421"/>
      <c r="Y36" s="421"/>
      <c r="Z36" s="421"/>
      <c r="AA36" s="421"/>
      <c r="AB36" s="421"/>
      <c r="AC36" s="421"/>
      <c r="AD36" s="421"/>
      <c r="AE36" s="421"/>
      <c r="AF36" s="421"/>
    </row>
    <row r="37" spans="1:36">
      <c r="A37" s="256"/>
      <c r="B37" s="256"/>
      <c r="C37" s="256"/>
      <c r="D37" s="256"/>
      <c r="E37" s="256"/>
      <c r="F37" s="256"/>
      <c r="H37" s="94"/>
      <c r="I37" s="94"/>
      <c r="J37" s="94"/>
      <c r="K37" s="440"/>
      <c r="L37" s="421"/>
      <c r="M37" s="421"/>
      <c r="N37" s="94"/>
      <c r="O37" s="94"/>
      <c r="X37" s="94"/>
      <c r="Y37" s="94"/>
      <c r="Z37" s="421"/>
      <c r="AA37" s="421"/>
      <c r="AB37" s="421"/>
      <c r="AC37" s="421"/>
      <c r="AD37" s="421"/>
      <c r="AE37" s="421"/>
      <c r="AF37" s="421"/>
      <c r="AG37" s="421"/>
      <c r="AH37" s="421"/>
      <c r="AI37" s="421"/>
    </row>
    <row r="38" spans="1:36">
      <c r="A38" s="256"/>
      <c r="B38" s="256"/>
      <c r="C38" s="256"/>
      <c r="D38" s="256">
        <f>SUM(D30:D36)</f>
        <v>6.7024751388888895</v>
      </c>
      <c r="E38" s="256" t="s">
        <v>6</v>
      </c>
      <c r="F38" s="256">
        <f>SUM(F30:F36)</f>
        <v>84.502846777777776</v>
      </c>
      <c r="H38" s="94"/>
      <c r="I38" s="94"/>
      <c r="J38" s="94"/>
      <c r="L38" s="421"/>
      <c r="M38" s="421"/>
      <c r="N38" s="94"/>
      <c r="O38" s="94"/>
      <c r="X38" s="94"/>
      <c r="Y38" s="94"/>
      <c r="Z38" s="421"/>
      <c r="AA38" s="421"/>
      <c r="AB38" s="421"/>
      <c r="AC38" s="421"/>
      <c r="AD38" s="421"/>
      <c r="AE38" s="421"/>
      <c r="AF38" s="421"/>
      <c r="AG38" s="421"/>
      <c r="AH38" s="421"/>
      <c r="AI38" s="421"/>
    </row>
    <row r="39" spans="1:36">
      <c r="A39" s="94"/>
      <c r="B39" s="94"/>
      <c r="E39" s="94"/>
      <c r="F39" s="94"/>
      <c r="H39" s="94"/>
      <c r="I39" s="94"/>
      <c r="J39" s="94"/>
      <c r="L39" s="421"/>
      <c r="M39" s="421"/>
      <c r="N39" s="421"/>
      <c r="O39" s="421"/>
      <c r="P39" s="421"/>
      <c r="X39" s="94"/>
      <c r="Y39" s="94"/>
      <c r="Z39" s="421"/>
      <c r="AA39" s="421"/>
      <c r="AB39" s="421"/>
      <c r="AC39" s="421"/>
      <c r="AD39" s="421"/>
      <c r="AE39" s="421"/>
      <c r="AF39" s="421"/>
      <c r="AG39" s="421"/>
      <c r="AH39" s="421"/>
      <c r="AI39" s="421"/>
    </row>
    <row r="40" spans="1:36">
      <c r="A40" s="421"/>
      <c r="B40" s="421"/>
      <c r="C40" s="421"/>
      <c r="D40" s="421"/>
      <c r="E40" s="421"/>
      <c r="F40" s="421"/>
      <c r="G40" s="421"/>
      <c r="H40" s="421"/>
      <c r="I40" s="421"/>
      <c r="J40" s="421"/>
      <c r="L40" s="421"/>
      <c r="M40" s="421"/>
      <c r="N40" s="421"/>
      <c r="O40" s="421"/>
      <c r="P40" s="421"/>
      <c r="Q40" s="421"/>
      <c r="Y40" s="94"/>
      <c r="Z40" s="94"/>
      <c r="AA40" s="421"/>
      <c r="AB40" s="421"/>
      <c r="AC40" s="421"/>
      <c r="AD40" s="421"/>
      <c r="AE40" s="421"/>
      <c r="AF40" s="421"/>
      <c r="AG40" s="421"/>
      <c r="AH40" s="421"/>
      <c r="AI40" s="421"/>
      <c r="AJ40" s="421"/>
    </row>
    <row r="41" spans="1:36" ht="17.25">
      <c r="A41" s="459" t="s">
        <v>6875</v>
      </c>
      <c r="B41" s="459" t="s">
        <v>4822</v>
      </c>
      <c r="C41" s="459" t="s">
        <v>6904</v>
      </c>
      <c r="D41" s="459" t="s">
        <v>6916</v>
      </c>
      <c r="E41" s="459" t="s">
        <v>6873</v>
      </c>
      <c r="F41" s="459" t="s">
        <v>6917</v>
      </c>
      <c r="G41" s="459" t="s">
        <v>6908</v>
      </c>
      <c r="H41" s="459" t="s">
        <v>6916</v>
      </c>
      <c r="I41" s="459" t="s">
        <v>4245</v>
      </c>
      <c r="J41" s="459" t="s">
        <v>6902</v>
      </c>
      <c r="K41" s="458">
        <v>13000000000</v>
      </c>
      <c r="L41" s="421"/>
      <c r="M41" s="421"/>
      <c r="N41" s="421"/>
      <c r="O41" s="421"/>
      <c r="P41" s="421"/>
      <c r="Q41" s="421"/>
      <c r="Y41" s="94"/>
      <c r="Z41" s="94"/>
      <c r="AA41" s="421"/>
      <c r="AB41" s="421"/>
      <c r="AC41" s="421"/>
      <c r="AD41" s="421"/>
      <c r="AE41" s="421"/>
      <c r="AF41" s="421"/>
      <c r="AG41" s="421"/>
      <c r="AH41" s="421"/>
      <c r="AI41" s="421"/>
      <c r="AJ41" s="421"/>
    </row>
    <row r="42" spans="1:36" ht="17.25">
      <c r="A42" s="459" t="s">
        <v>5786</v>
      </c>
      <c r="B42" s="460">
        <v>4733791436</v>
      </c>
      <c r="C42" s="461">
        <f>'سهام بنیادی'!B18</f>
        <v>173</v>
      </c>
      <c r="D42" s="461">
        <v>0</v>
      </c>
      <c r="E42" s="461">
        <f>'سهام بنیادی'!C18</f>
        <v>170</v>
      </c>
      <c r="F42" s="461">
        <v>0</v>
      </c>
      <c r="G42" s="461">
        <f>'سهام بنیادی'!D18</f>
        <v>440</v>
      </c>
      <c r="H42" s="461">
        <f t="shared" ref="H42:H47" si="6">B42*G42/$K$41</f>
        <v>160.22063321846153</v>
      </c>
      <c r="I42" s="461">
        <f>'سهام بنیادی'!E18</f>
        <v>4695</v>
      </c>
      <c r="J42" s="461">
        <f>B42*I42/$K$41</f>
        <v>1709.6269840015384</v>
      </c>
      <c r="K42" s="94"/>
      <c r="L42" s="421"/>
      <c r="M42" s="421"/>
      <c r="N42" s="421"/>
      <c r="O42" s="421"/>
      <c r="P42" s="421"/>
      <c r="Q42" s="421"/>
      <c r="Y42" s="94"/>
      <c r="Z42" s="94"/>
      <c r="AA42" s="421"/>
      <c r="AB42" s="421"/>
      <c r="AC42" s="421"/>
      <c r="AD42" s="421"/>
      <c r="AE42" s="421"/>
      <c r="AF42" s="421"/>
      <c r="AG42" s="421"/>
      <c r="AH42" s="421"/>
      <c r="AI42" s="421"/>
      <c r="AJ42" s="421"/>
    </row>
    <row r="43" spans="1:36" ht="17.25">
      <c r="A43" s="459" t="s">
        <v>6876</v>
      </c>
      <c r="B43" s="460">
        <v>7228254280</v>
      </c>
      <c r="C43" s="461">
        <f>'سهام بنیادی'!B24</f>
        <v>109</v>
      </c>
      <c r="D43" s="461">
        <f>B43*C43/$K$41</f>
        <v>60.606132039999999</v>
      </c>
      <c r="E43" s="461">
        <f>'سهام بنیادی'!C24</f>
        <v>47</v>
      </c>
      <c r="F43" s="461">
        <f>B43*E43/$K$41</f>
        <v>26.132919319999999</v>
      </c>
      <c r="G43" s="461">
        <f>'سهام بنیادی'!D24</f>
        <v>104.7</v>
      </c>
      <c r="H43" s="461">
        <f t="shared" si="6"/>
        <v>58.215247931999997</v>
      </c>
      <c r="I43" s="461">
        <f>'سهام بنیادی'!E24</f>
        <v>839</v>
      </c>
      <c r="J43" s="461">
        <f t="shared" ref="J43:J47" si="7">B43*I43/$K$41</f>
        <v>466.50041083999997</v>
      </c>
      <c r="K43" s="94"/>
      <c r="L43" s="421"/>
      <c r="M43" s="421"/>
      <c r="N43" s="421"/>
      <c r="O43" s="421"/>
      <c r="P43" s="421"/>
      <c r="Q43" s="421"/>
      <c r="Y43" s="94"/>
      <c r="Z43" s="94"/>
      <c r="AA43" s="421"/>
      <c r="AB43" s="421"/>
      <c r="AC43" s="421"/>
      <c r="AD43" s="421"/>
      <c r="AE43" s="421"/>
      <c r="AF43" s="421"/>
      <c r="AG43" s="421"/>
      <c r="AH43" s="421"/>
      <c r="AI43" s="421"/>
      <c r="AJ43" s="421"/>
    </row>
    <row r="44" spans="1:36" ht="17.25">
      <c r="A44" s="459" t="s">
        <v>6880</v>
      </c>
      <c r="B44" s="460">
        <v>288110000</v>
      </c>
      <c r="C44" s="461">
        <f>'سهام بنیادی'!B25</f>
        <v>825</v>
      </c>
      <c r="D44" s="461">
        <f>B44*C44/$K$41</f>
        <v>18.283903846153848</v>
      </c>
      <c r="E44" s="461">
        <f>'سهام بنیادی'!C25</f>
        <v>750</v>
      </c>
      <c r="F44" s="461">
        <f>B44*E44/$K$41</f>
        <v>16.621730769230769</v>
      </c>
      <c r="G44" s="461">
        <f>'سهام بنیادی'!D25</f>
        <v>1000</v>
      </c>
      <c r="H44" s="461">
        <f t="shared" si="6"/>
        <v>22.162307692307692</v>
      </c>
      <c r="I44" s="461">
        <f>'سهام بنیادی'!E25</f>
        <v>7250</v>
      </c>
      <c r="J44" s="461">
        <f t="shared" si="7"/>
        <v>160.67673076923077</v>
      </c>
      <c r="K44" s="94"/>
      <c r="L44" s="421"/>
      <c r="M44" s="421"/>
      <c r="N44" s="421"/>
      <c r="O44" s="421"/>
      <c r="P44" s="421"/>
      <c r="Q44" s="421"/>
      <c r="Y44" s="94"/>
      <c r="Z44" s="94"/>
      <c r="AA44" s="421"/>
      <c r="AB44" s="421"/>
      <c r="AC44" s="421"/>
      <c r="AD44" s="421"/>
      <c r="AE44" s="421"/>
      <c r="AF44" s="421"/>
      <c r="AG44" s="421"/>
      <c r="AH44" s="421"/>
      <c r="AI44" s="421"/>
      <c r="AJ44" s="421"/>
    </row>
    <row r="45" spans="1:36" ht="17.25">
      <c r="A45" s="459" t="s">
        <v>6877</v>
      </c>
      <c r="B45" s="460">
        <v>324970000</v>
      </c>
      <c r="C45" s="461">
        <f>'سهام بنیادی'!B26</f>
        <v>2959</v>
      </c>
      <c r="D45" s="461">
        <f>B45*C45/$K$41</f>
        <v>73.968171538461533</v>
      </c>
      <c r="E45" s="461">
        <f>'سهام بنیادی'!C26</f>
        <v>2400</v>
      </c>
      <c r="F45" s="461">
        <f>B45*E45/$K$41</f>
        <v>59.994461538461536</v>
      </c>
      <c r="G45" s="461">
        <f>'سهام بنیادی'!D26</f>
        <v>3500</v>
      </c>
      <c r="H45" s="461">
        <f t="shared" si="6"/>
        <v>87.491923076923072</v>
      </c>
      <c r="I45" s="461">
        <f>'سهام بنیادی'!E26</f>
        <v>18000</v>
      </c>
      <c r="J45" s="461">
        <f t="shared" si="7"/>
        <v>449.95846153846156</v>
      </c>
      <c r="K45" s="94"/>
      <c r="L45" s="421"/>
      <c r="M45" s="421"/>
      <c r="N45" s="421"/>
      <c r="O45" s="421"/>
      <c r="P45" s="421"/>
      <c r="Q45" s="421"/>
      <c r="Y45" s="94"/>
      <c r="Z45" s="94"/>
      <c r="AA45" s="421"/>
      <c r="AB45" s="421"/>
      <c r="AC45" s="421"/>
      <c r="AD45" s="421"/>
      <c r="AE45" s="421"/>
      <c r="AF45" s="421"/>
      <c r="AG45" s="421"/>
      <c r="AH45" s="421"/>
      <c r="AI45" s="421"/>
      <c r="AJ45" s="421"/>
    </row>
    <row r="46" spans="1:36" ht="17.25">
      <c r="A46" s="459" t="s">
        <v>6878</v>
      </c>
      <c r="B46" s="460">
        <v>5382680274</v>
      </c>
      <c r="C46" s="461">
        <f>'سهام بنیادی'!B27</f>
        <v>125</v>
      </c>
      <c r="D46" s="461">
        <f>B46*C46/$K$41</f>
        <v>51.756541096153846</v>
      </c>
      <c r="E46" s="461">
        <f>'سهام بنیادی'!C27</f>
        <v>100</v>
      </c>
      <c r="F46" s="461">
        <f>B46*E46/$K$41</f>
        <v>41.40523287692308</v>
      </c>
      <c r="G46" s="461">
        <f>'سهام بنیادی'!D27</f>
        <v>220</v>
      </c>
      <c r="H46" s="461">
        <f t="shared" si="6"/>
        <v>91.091512329230767</v>
      </c>
      <c r="I46" s="461">
        <f>'سهام بنیادی'!E27</f>
        <v>1100</v>
      </c>
      <c r="J46" s="461">
        <f t="shared" si="7"/>
        <v>455.45756164615386</v>
      </c>
      <c r="K46" s="94" t="s">
        <v>25</v>
      </c>
      <c r="L46" s="94"/>
      <c r="M46" s="94"/>
      <c r="N46" s="421"/>
      <c r="O46" s="421"/>
      <c r="P46" s="421"/>
      <c r="Q46" s="421"/>
      <c r="Y46" s="94"/>
      <c r="Z46" s="94"/>
      <c r="AA46" s="421"/>
      <c r="AB46" s="421"/>
      <c r="AC46" s="421"/>
      <c r="AD46" s="421"/>
      <c r="AE46" s="421"/>
      <c r="AF46" s="421"/>
      <c r="AG46" s="421"/>
      <c r="AH46" s="421"/>
      <c r="AI46" s="421"/>
      <c r="AJ46" s="421"/>
    </row>
    <row r="47" spans="1:36" ht="17.25">
      <c r="A47" s="459" t="s">
        <v>6881</v>
      </c>
      <c r="B47" s="460">
        <v>9500000000</v>
      </c>
      <c r="C47" s="461">
        <v>53</v>
      </c>
      <c r="D47" s="461">
        <f>B47*C47/$K$41</f>
        <v>38.730769230769234</v>
      </c>
      <c r="E47" s="461">
        <v>5.3</v>
      </c>
      <c r="F47" s="461">
        <f>B47*E47/$K$41</f>
        <v>3.8730769230769231</v>
      </c>
      <c r="G47" s="461">
        <v>72</v>
      </c>
      <c r="H47" s="461">
        <f t="shared" si="6"/>
        <v>52.615384615384613</v>
      </c>
      <c r="I47" s="461">
        <v>500</v>
      </c>
      <c r="J47" s="461">
        <f t="shared" si="7"/>
        <v>365.38461538461536</v>
      </c>
      <c r="K47" s="94"/>
      <c r="L47" s="94"/>
      <c r="M47" s="94"/>
      <c r="N47" s="421"/>
      <c r="O47" s="421"/>
      <c r="P47" s="421"/>
      <c r="Q47" s="421"/>
      <c r="Y47" s="94"/>
      <c r="Z47" s="94"/>
      <c r="AA47" s="421"/>
      <c r="AB47" s="421"/>
      <c r="AC47" s="421"/>
      <c r="AD47" s="421"/>
      <c r="AE47" s="421"/>
      <c r="AF47" s="421"/>
      <c r="AG47" s="421"/>
      <c r="AH47" s="421"/>
      <c r="AI47" s="421"/>
      <c r="AJ47" s="421"/>
    </row>
    <row r="48" spans="1:36" ht="17.25">
      <c r="A48" s="459" t="s">
        <v>5810</v>
      </c>
      <c r="B48" s="460"/>
      <c r="C48" s="461"/>
      <c r="D48" s="461">
        <v>26</v>
      </c>
      <c r="E48" s="461"/>
      <c r="F48" s="461">
        <v>26</v>
      </c>
      <c r="G48" s="461"/>
      <c r="H48" s="461">
        <v>30</v>
      </c>
      <c r="I48" s="461"/>
      <c r="J48" s="461">
        <v>200</v>
      </c>
      <c r="K48" s="94"/>
      <c r="L48" s="421" t="s">
        <v>25</v>
      </c>
      <c r="M48" s="421"/>
      <c r="N48" s="421"/>
      <c r="V48" s="94"/>
      <c r="W48" s="94"/>
      <c r="X48" s="421"/>
      <c r="Y48" s="421"/>
      <c r="Z48" s="421"/>
      <c r="AA48" s="421"/>
      <c r="AB48" s="421"/>
      <c r="AC48" s="421"/>
      <c r="AD48" s="421"/>
      <c r="AE48" s="421"/>
      <c r="AF48" s="421"/>
      <c r="AG48" s="421"/>
    </row>
    <row r="49" spans="1:33" ht="17.25">
      <c r="A49" s="459"/>
      <c r="B49" s="460"/>
      <c r="C49" s="461"/>
      <c r="D49" s="461"/>
      <c r="E49" s="461"/>
      <c r="F49" s="461"/>
      <c r="G49" s="461"/>
      <c r="H49" s="461"/>
      <c r="I49" s="461"/>
      <c r="J49" s="461"/>
      <c r="K49" s="94"/>
      <c r="L49" s="94"/>
      <c r="M49" s="94"/>
      <c r="V49" s="94"/>
      <c r="W49" s="94"/>
      <c r="X49" s="421"/>
      <c r="Y49" s="421"/>
      <c r="Z49" s="421"/>
      <c r="AA49" s="421"/>
      <c r="AB49" s="421"/>
      <c r="AC49" s="421"/>
      <c r="AD49" s="421"/>
      <c r="AE49" s="421"/>
      <c r="AF49" s="421"/>
      <c r="AG49" s="421"/>
    </row>
    <row r="50" spans="1:33" ht="17.25">
      <c r="A50" s="459"/>
      <c r="B50" s="460"/>
      <c r="C50" s="461"/>
      <c r="D50" s="461"/>
      <c r="E50" s="461"/>
      <c r="F50" s="461"/>
      <c r="G50" s="461"/>
      <c r="H50" s="461"/>
      <c r="I50" s="461"/>
      <c r="J50" s="461"/>
      <c r="K50" s="94"/>
      <c r="L50" s="94"/>
      <c r="M50" s="94"/>
      <c r="V50" s="94"/>
      <c r="W50" s="94"/>
      <c r="X50" s="421"/>
      <c r="Y50" s="421"/>
      <c r="Z50" s="421"/>
      <c r="AA50" s="421"/>
      <c r="AB50" s="421"/>
      <c r="AC50" s="421"/>
      <c r="AD50" s="421"/>
      <c r="AE50" s="421"/>
      <c r="AF50" s="421"/>
      <c r="AG50" s="421"/>
    </row>
    <row r="51" spans="1:33" ht="17.25">
      <c r="A51" s="459"/>
      <c r="B51" s="459"/>
      <c r="C51" s="459"/>
      <c r="D51" s="462">
        <f>SUM(D42:D49)</f>
        <v>269.34551775153847</v>
      </c>
      <c r="E51" s="462"/>
      <c r="F51" s="462">
        <f>SUM(F42:F49)</f>
        <v>174.0274214276923</v>
      </c>
      <c r="G51" s="459"/>
      <c r="H51" s="462">
        <f>SUM(H42:H49)</f>
        <v>501.79700886430771</v>
      </c>
      <c r="I51" s="459"/>
      <c r="J51" s="461">
        <f>SUM(J42:J50)</f>
        <v>3807.6047641799996</v>
      </c>
      <c r="L51" s="94"/>
      <c r="U51" s="94"/>
      <c r="V51" s="94"/>
    </row>
    <row r="52" spans="1:33">
      <c r="A52" s="94"/>
      <c r="B52" s="94"/>
      <c r="E52" s="94"/>
      <c r="F52" s="94"/>
      <c r="G52" s="94" t="s">
        <v>6</v>
      </c>
      <c r="H52" s="94"/>
      <c r="I52" s="94"/>
      <c r="J52" s="94"/>
      <c r="K52" s="421"/>
      <c r="U52" s="94"/>
      <c r="V52" s="94"/>
    </row>
    <row r="53" spans="1:33">
      <c r="A53" s="94"/>
      <c r="B53" s="94"/>
      <c r="E53" s="94"/>
      <c r="F53" s="94"/>
      <c r="K53" s="421"/>
      <c r="L53" s="94"/>
      <c r="U53" s="94"/>
      <c r="V53" s="94"/>
    </row>
    <row r="54" spans="1:33">
      <c r="C54" s="94" t="s">
        <v>25</v>
      </c>
      <c r="G54" s="94"/>
      <c r="H54" s="94"/>
      <c r="I54" s="94"/>
      <c r="J54" s="94"/>
      <c r="K54" s="421"/>
      <c r="U54" s="94"/>
      <c r="V54" s="94"/>
    </row>
    <row r="55" spans="1:33">
      <c r="A55" s="94"/>
      <c r="B55" s="94"/>
      <c r="E55" s="94"/>
      <c r="F55" s="94"/>
      <c r="K55" s="421"/>
      <c r="N55" t="s">
        <v>25</v>
      </c>
      <c r="U55" s="94"/>
      <c r="V55" s="94"/>
    </row>
    <row r="56" spans="1:33">
      <c r="G56" t="s">
        <v>5081</v>
      </c>
      <c r="H56" t="s">
        <v>25</v>
      </c>
      <c r="K56" s="421"/>
      <c r="U56" s="94"/>
      <c r="V56" s="94"/>
    </row>
    <row r="57" spans="1:33">
      <c r="C57" s="94" t="s">
        <v>5071</v>
      </c>
      <c r="D57" s="94" t="s">
        <v>5077</v>
      </c>
      <c r="E57" t="s">
        <v>5078</v>
      </c>
      <c r="F57" t="s">
        <v>5080</v>
      </c>
      <c r="G57">
        <f t="shared" ref="G57:G63" si="8">F58*11400/1000000000</f>
        <v>7965.2939999999999</v>
      </c>
      <c r="J57" t="s">
        <v>25</v>
      </c>
      <c r="K57" s="421"/>
      <c r="U57" s="94"/>
      <c r="V57" s="94"/>
    </row>
    <row r="58" spans="1:33">
      <c r="C58" s="94" t="s">
        <v>5076</v>
      </c>
      <c r="D58" s="94">
        <v>1306</v>
      </c>
      <c r="E58">
        <v>0.53500000000000003</v>
      </c>
      <c r="F58">
        <f t="shared" ref="F58:F64" si="9">D58*E58*$D$69</f>
        <v>698710000</v>
      </c>
      <c r="G58" s="94">
        <f t="shared" si="8"/>
        <v>57</v>
      </c>
      <c r="K58" s="421"/>
      <c r="L58" t="s">
        <v>25</v>
      </c>
      <c r="U58" s="94"/>
      <c r="V58" s="94"/>
    </row>
    <row r="59" spans="1:33">
      <c r="B59" s="94"/>
      <c r="C59" s="94" t="s">
        <v>5082</v>
      </c>
      <c r="D59" s="94">
        <v>10</v>
      </c>
      <c r="E59" s="94">
        <v>0.5</v>
      </c>
      <c r="F59" s="94">
        <f t="shared" si="9"/>
        <v>5000000</v>
      </c>
      <c r="G59" s="94">
        <f t="shared" si="8"/>
        <v>3645.72</v>
      </c>
      <c r="J59" t="s">
        <v>25</v>
      </c>
      <c r="K59" s="421"/>
      <c r="U59" s="94"/>
      <c r="V59" s="94"/>
    </row>
    <row r="60" spans="1:33">
      <c r="B60" s="94"/>
      <c r="C60" s="94" t="s">
        <v>5083</v>
      </c>
      <c r="D60" s="94">
        <v>492</v>
      </c>
      <c r="E60" s="94">
        <v>0.65</v>
      </c>
      <c r="F60" s="94">
        <f t="shared" si="9"/>
        <v>319800000</v>
      </c>
      <c r="G60" s="94">
        <f t="shared" si="8"/>
        <v>2679</v>
      </c>
      <c r="U60" s="94"/>
      <c r="V60" s="94"/>
    </row>
    <row r="61" spans="1:33">
      <c r="A61" t="s">
        <v>5759</v>
      </c>
      <c r="B61" s="94"/>
      <c r="C61" s="94" t="s">
        <v>5084</v>
      </c>
      <c r="D61" s="94">
        <v>235</v>
      </c>
      <c r="E61" s="94">
        <v>1</v>
      </c>
      <c r="F61" s="94">
        <f t="shared" si="9"/>
        <v>235000000</v>
      </c>
      <c r="G61" s="94">
        <f t="shared" si="8"/>
        <v>3420</v>
      </c>
      <c r="K61" s="94"/>
      <c r="U61" s="94"/>
      <c r="V61" s="94"/>
    </row>
    <row r="62" spans="1:33">
      <c r="A62" s="94" t="s">
        <v>5760</v>
      </c>
      <c r="B62" s="94">
        <v>0.3</v>
      </c>
      <c r="C62" s="94" t="s">
        <v>5085</v>
      </c>
      <c r="D62" s="94">
        <v>500</v>
      </c>
      <c r="E62" s="94">
        <v>0.6</v>
      </c>
      <c r="F62" s="94">
        <f t="shared" si="9"/>
        <v>300000000</v>
      </c>
      <c r="G62" s="94">
        <f t="shared" si="8"/>
        <v>10294.200000000001</v>
      </c>
      <c r="H62">
        <v>1</v>
      </c>
      <c r="K62" s="421"/>
      <c r="L62" t="s">
        <v>25</v>
      </c>
      <c r="U62" s="94"/>
      <c r="V62" s="94"/>
    </row>
    <row r="63" spans="1:33">
      <c r="A63" s="94" t="s">
        <v>5289</v>
      </c>
      <c r="B63" s="18">
        <v>36000000000000</v>
      </c>
      <c r="C63" s="94" t="s">
        <v>5086</v>
      </c>
      <c r="D63" s="94">
        <v>903</v>
      </c>
      <c r="E63" s="94">
        <v>1</v>
      </c>
      <c r="F63" s="94">
        <f t="shared" si="9"/>
        <v>903000000</v>
      </c>
      <c r="G63" s="94">
        <f t="shared" si="8"/>
        <v>0</v>
      </c>
      <c r="K63" s="94"/>
      <c r="U63" s="94"/>
      <c r="V63" s="94"/>
    </row>
    <row r="64" spans="1:33">
      <c r="A64" s="120" t="s">
        <v>4822</v>
      </c>
      <c r="B64" s="94">
        <v>18000000000</v>
      </c>
      <c r="E64" s="94"/>
      <c r="F64" s="94">
        <f t="shared" si="9"/>
        <v>0</v>
      </c>
      <c r="G64" s="94"/>
      <c r="K64" s="94"/>
      <c r="U64" s="94"/>
      <c r="V64" s="94"/>
    </row>
    <row r="65" spans="1:22">
      <c r="A65" s="120" t="s">
        <v>5761</v>
      </c>
      <c r="B65" s="18">
        <f>B62*B63/B64</f>
        <v>600</v>
      </c>
      <c r="E65" s="94"/>
      <c r="F65" s="94"/>
      <c r="G65" s="94"/>
      <c r="K65" s="94"/>
      <c r="U65" s="94"/>
      <c r="V65" s="94"/>
    </row>
    <row r="66" spans="1:22">
      <c r="A66" s="120" t="s">
        <v>5762</v>
      </c>
      <c r="B66" s="120">
        <v>872000000</v>
      </c>
      <c r="E66" s="94"/>
      <c r="F66" s="94"/>
      <c r="U66" s="94"/>
      <c r="V66" s="94"/>
    </row>
    <row r="67" spans="1:22">
      <c r="A67" s="120" t="s">
        <v>5763</v>
      </c>
      <c r="B67" s="18">
        <v>750</v>
      </c>
      <c r="E67" s="94"/>
      <c r="F67" s="94"/>
      <c r="K67" s="94"/>
      <c r="U67" s="94"/>
      <c r="V67" s="94"/>
    </row>
    <row r="68" spans="1:22">
      <c r="A68" s="120" t="s">
        <v>5764</v>
      </c>
      <c r="B68" s="94">
        <f>B66*B67/B64</f>
        <v>36.333333333333336</v>
      </c>
      <c r="C68" s="94" t="s">
        <v>5072</v>
      </c>
      <c r="D68" s="94" t="s">
        <v>5073</v>
      </c>
      <c r="E68" s="94"/>
      <c r="F68" s="94"/>
      <c r="U68" s="94"/>
      <c r="V68" s="94"/>
    </row>
    <row r="69" spans="1:22">
      <c r="A69" s="120"/>
      <c r="B69" s="120"/>
      <c r="C69" s="94" t="s">
        <v>5079</v>
      </c>
      <c r="D69" s="94">
        <v>1000000</v>
      </c>
      <c r="E69" s="94"/>
      <c r="F69" s="94"/>
      <c r="U69" s="94"/>
      <c r="V69" s="94"/>
    </row>
    <row r="70" spans="1:22">
      <c r="A70" s="120"/>
      <c r="B70" s="18"/>
      <c r="C70" s="94" t="s">
        <v>5074</v>
      </c>
      <c r="D70" s="94" t="s">
        <v>5075</v>
      </c>
      <c r="E70" s="94"/>
      <c r="F70" s="94"/>
      <c r="M70" t="s">
        <v>25</v>
      </c>
    </row>
    <row r="71" spans="1:22">
      <c r="A71" s="120"/>
      <c r="B71" s="94"/>
      <c r="E71" s="94"/>
      <c r="F71" s="94"/>
      <c r="M71" t="s">
        <v>25</v>
      </c>
    </row>
    <row r="72" spans="1:22">
      <c r="A72" s="94"/>
      <c r="B72" s="94"/>
      <c r="E72" s="94"/>
      <c r="F72" s="94"/>
    </row>
    <row r="73" spans="1:22">
      <c r="A73" s="94"/>
      <c r="B73" s="94"/>
      <c r="E73" s="94"/>
      <c r="F73" s="94"/>
    </row>
    <row r="74" spans="1:22">
      <c r="A74" s="94"/>
      <c r="B74" s="94"/>
      <c r="E74" s="94"/>
      <c r="F74" s="94"/>
    </row>
    <row r="75" spans="1:22">
      <c r="A75" s="94"/>
      <c r="B75" s="94" t="s">
        <v>4822</v>
      </c>
      <c r="C75" s="94" t="s">
        <v>4245</v>
      </c>
      <c r="D75" s="94" t="s">
        <v>4418</v>
      </c>
      <c r="E75" s="94" t="s">
        <v>5077</v>
      </c>
      <c r="F75" s="94" t="s">
        <v>5383</v>
      </c>
      <c r="U75" t="s">
        <v>25</v>
      </c>
    </row>
    <row r="76" spans="1:22">
      <c r="A76" s="94" t="s">
        <v>4827</v>
      </c>
      <c r="B76" s="94">
        <v>6</v>
      </c>
      <c r="C76" s="94">
        <v>4125</v>
      </c>
      <c r="D76" s="94">
        <f>B76*C76</f>
        <v>24750</v>
      </c>
      <c r="E76" s="94">
        <v>3</v>
      </c>
      <c r="F76" s="94">
        <f>D76/E76</f>
        <v>8250</v>
      </c>
    </row>
    <row r="77" spans="1:22">
      <c r="A77" s="94" t="s">
        <v>4502</v>
      </c>
      <c r="B77" s="94">
        <v>9</v>
      </c>
      <c r="C77" s="94">
        <v>439</v>
      </c>
      <c r="D77" s="94">
        <f>B77*C77</f>
        <v>3951</v>
      </c>
      <c r="E77" s="94">
        <v>1.073</v>
      </c>
      <c r="F77" s="94">
        <f>D77/E77</f>
        <v>3682.1994408201308</v>
      </c>
    </row>
    <row r="78" spans="1:22">
      <c r="A78" s="94"/>
      <c r="B78" s="94"/>
      <c r="E78" s="94"/>
      <c r="F78" s="94"/>
    </row>
    <row r="79" spans="1:22">
      <c r="A79" s="94"/>
      <c r="B79" s="94"/>
      <c r="E79" s="94"/>
      <c r="F79" s="94"/>
      <c r="N79" t="s">
        <v>25</v>
      </c>
    </row>
    <row r="80" spans="1:22">
      <c r="A80" s="94"/>
      <c r="B80" s="94"/>
      <c r="E80" s="94"/>
      <c r="F80" s="94"/>
    </row>
    <row r="81" spans="1:23">
      <c r="A81" s="94"/>
      <c r="B81" s="94"/>
      <c r="E81" s="94"/>
      <c r="F81" s="94"/>
      <c r="W81" t="s">
        <v>25</v>
      </c>
    </row>
    <row r="82" spans="1:23">
      <c r="A82" s="94" t="s">
        <v>5783</v>
      </c>
      <c r="B82" s="94"/>
      <c r="E82" s="94"/>
      <c r="F82" s="94"/>
    </row>
    <row r="83" spans="1:23">
      <c r="A83" s="94" t="s">
        <v>5775</v>
      </c>
      <c r="B83" s="94"/>
      <c r="E83" s="94"/>
      <c r="F83" s="94"/>
    </row>
    <row r="84" spans="1:23">
      <c r="A84" s="94" t="s">
        <v>5776</v>
      </c>
      <c r="B84" s="94"/>
      <c r="E84" s="94"/>
      <c r="F84" s="94"/>
    </row>
    <row r="85" spans="1:23">
      <c r="A85" t="s">
        <v>5784</v>
      </c>
      <c r="B85" s="94"/>
      <c r="E85" s="94"/>
      <c r="F85" s="94"/>
    </row>
    <row r="86" spans="1:23">
      <c r="A86" t="s">
        <v>5480</v>
      </c>
      <c r="B86" s="94"/>
      <c r="E86" s="94"/>
      <c r="F86" s="94"/>
    </row>
    <row r="87" spans="1:23">
      <c r="A87" s="94" t="s">
        <v>4829</v>
      </c>
      <c r="B87" s="94"/>
      <c r="E87" s="94"/>
      <c r="F87" s="94"/>
    </row>
    <row r="88" spans="1:23">
      <c r="A88" s="94" t="s">
        <v>4828</v>
      </c>
      <c r="B88" s="94"/>
      <c r="E88" s="94"/>
      <c r="F88" s="94"/>
    </row>
    <row r="89" spans="1:23">
      <c r="A89" s="94" t="s">
        <v>5778</v>
      </c>
      <c r="B89" s="94"/>
      <c r="C89" s="94" t="s">
        <v>25</v>
      </c>
      <c r="E89" s="94"/>
      <c r="F89" s="94"/>
    </row>
    <row r="90" spans="1:23">
      <c r="A90" s="94" t="s">
        <v>5779</v>
      </c>
      <c r="B90" s="94"/>
      <c r="E90" s="94"/>
      <c r="F90" s="94"/>
    </row>
    <row r="91" spans="1:23">
      <c r="A91" t="s">
        <v>5795</v>
      </c>
      <c r="B91" s="94"/>
      <c r="E91" s="94"/>
      <c r="F91" s="94"/>
    </row>
    <row r="92" spans="1:23">
      <c r="A92" t="s">
        <v>4475</v>
      </c>
      <c r="B92" s="94"/>
      <c r="E92" s="94"/>
      <c r="F92" s="94"/>
    </row>
    <row r="93" spans="1:23">
      <c r="A93" s="94" t="s">
        <v>4502</v>
      </c>
      <c r="B93" s="94"/>
      <c r="E93" s="94"/>
      <c r="F93" s="94"/>
    </row>
    <row r="94" spans="1:23">
      <c r="A94" s="94"/>
      <c r="B94" s="94"/>
      <c r="C94" s="94" t="s">
        <v>25</v>
      </c>
      <c r="E94" s="94"/>
      <c r="F94" s="94"/>
      <c r="K94" t="s">
        <v>25</v>
      </c>
      <c r="M94" t="s">
        <v>25</v>
      </c>
    </row>
    <row r="95" spans="1:23">
      <c r="B95" s="94"/>
      <c r="E95" s="94"/>
      <c r="F95" s="94"/>
      <c r="W95" t="s">
        <v>25</v>
      </c>
    </row>
    <row r="96" spans="1:23">
      <c r="A96" s="94" t="s">
        <v>5777</v>
      </c>
      <c r="B96" s="94"/>
      <c r="E96" s="94"/>
      <c r="F96" s="94"/>
    </row>
    <row r="97" spans="1:28">
      <c r="A97" s="94" t="s">
        <v>5259</v>
      </c>
      <c r="B97" s="94"/>
      <c r="E97" s="94"/>
      <c r="F97" s="94"/>
    </row>
    <row r="98" spans="1:28">
      <c r="A98" s="94" t="s">
        <v>5268</v>
      </c>
      <c r="B98" s="94"/>
      <c r="E98" s="94"/>
      <c r="F98" s="94"/>
    </row>
    <row r="99" spans="1:28">
      <c r="A99" s="94" t="s">
        <v>5788</v>
      </c>
      <c r="B99" s="94"/>
      <c r="E99" s="94"/>
      <c r="F99" s="94"/>
      <c r="AB99" t="s">
        <v>25</v>
      </c>
    </row>
    <row r="100" spans="1:28">
      <c r="A100" s="94" t="s">
        <v>5273</v>
      </c>
      <c r="B100" s="94"/>
      <c r="E100" s="94"/>
      <c r="F100" s="94"/>
    </row>
    <row r="101" spans="1:28">
      <c r="A101" s="94" t="s">
        <v>5789</v>
      </c>
      <c r="B101" s="94"/>
      <c r="E101" s="94"/>
      <c r="F101" s="94"/>
      <c r="M101" t="s">
        <v>25</v>
      </c>
    </row>
    <row r="102" spans="1:28">
      <c r="A102" s="94" t="s">
        <v>5790</v>
      </c>
      <c r="B102" s="94"/>
      <c r="E102" s="94"/>
      <c r="F102" s="94"/>
    </row>
    <row r="103" spans="1:28">
      <c r="A103" s="94" t="s">
        <v>5791</v>
      </c>
      <c r="B103" s="94"/>
      <c r="E103" s="94"/>
      <c r="F103" s="94"/>
    </row>
    <row r="104" spans="1:28">
      <c r="A104" s="94" t="s">
        <v>4477</v>
      </c>
      <c r="B104" s="94"/>
      <c r="E104" s="94"/>
      <c r="F104" s="94"/>
    </row>
    <row r="105" spans="1:28">
      <c r="A105" s="94" t="s">
        <v>4553</v>
      </c>
      <c r="B105" s="94" t="s">
        <v>25</v>
      </c>
      <c r="E105" s="94"/>
      <c r="F105" s="94"/>
      <c r="U105" t="s">
        <v>25</v>
      </c>
    </row>
    <row r="106" spans="1:28">
      <c r="A106" s="94" t="s">
        <v>4707</v>
      </c>
      <c r="B106" s="94"/>
      <c r="E106" s="94"/>
      <c r="F106" s="94"/>
      <c r="L106" s="112"/>
    </row>
    <row r="107" spans="1:28">
      <c r="A107" s="94" t="s">
        <v>4651</v>
      </c>
      <c r="B107" s="94"/>
      <c r="E107" s="94"/>
      <c r="F107" s="94"/>
    </row>
    <row r="108" spans="1:28">
      <c r="A108" s="94"/>
      <c r="B108" s="94"/>
      <c r="E108" s="94"/>
      <c r="F108" s="94"/>
      <c r="M108" t="s">
        <v>25</v>
      </c>
    </row>
    <row r="109" spans="1:28">
      <c r="A109" s="94"/>
      <c r="B109" s="94"/>
      <c r="E109" s="94"/>
      <c r="F109" s="94"/>
    </row>
    <row r="110" spans="1:28">
      <c r="B110" s="94"/>
      <c r="E110" s="94"/>
      <c r="F110" s="94"/>
      <c r="V110" t="s">
        <v>25</v>
      </c>
    </row>
    <row r="111" spans="1:28">
      <c r="A111" s="94" t="s">
        <v>5782</v>
      </c>
      <c r="E111" s="94"/>
      <c r="F111" s="94"/>
    </row>
    <row r="112" spans="1:28">
      <c r="A112" s="94" t="s">
        <v>5780</v>
      </c>
      <c r="E112" s="94"/>
      <c r="F112" s="94"/>
      <c r="V112" t="s">
        <v>25</v>
      </c>
    </row>
    <row r="113" spans="1:25">
      <c r="A113" s="94" t="s">
        <v>5781</v>
      </c>
      <c r="E113" s="94"/>
      <c r="F113" s="94"/>
    </row>
    <row r="114" spans="1:25">
      <c r="A114" s="94" t="s">
        <v>5792</v>
      </c>
      <c r="E114" s="94"/>
      <c r="F114" s="94"/>
    </row>
    <row r="115" spans="1:25">
      <c r="A115" s="94" t="s">
        <v>5793</v>
      </c>
      <c r="E115" s="94"/>
      <c r="F115" s="94"/>
      <c r="Y115" t="s">
        <v>25</v>
      </c>
    </row>
    <row r="116" spans="1:25">
      <c r="A116" s="94" t="s">
        <v>5794</v>
      </c>
    </row>
    <row r="117" spans="1:25">
      <c r="A117" s="94"/>
    </row>
    <row r="118" spans="1:25">
      <c r="A118" s="94" t="s">
        <v>5785</v>
      </c>
    </row>
    <row r="119" spans="1:25">
      <c r="A119" t="s">
        <v>5786</v>
      </c>
      <c r="L119" s="94"/>
      <c r="M119" s="94"/>
    </row>
    <row r="120" spans="1:25">
      <c r="A120" s="94" t="s">
        <v>5787</v>
      </c>
      <c r="G120" s="94"/>
      <c r="H120" s="94"/>
      <c r="I120" s="94"/>
      <c r="J120" s="94"/>
      <c r="L120" s="94"/>
      <c r="M120" s="94"/>
    </row>
    <row r="121" spans="1:25">
      <c r="A121" s="94"/>
      <c r="B121" s="94"/>
      <c r="E121" s="94"/>
      <c r="F121" s="94"/>
      <c r="G121" s="94"/>
      <c r="H121" s="94"/>
      <c r="I121" s="94"/>
      <c r="J121" s="94"/>
    </row>
    <row r="122" spans="1:25">
      <c r="A122" s="94"/>
      <c r="B122" s="94"/>
      <c r="E122" s="94"/>
      <c r="F122" s="94"/>
      <c r="N122" t="s">
        <v>25</v>
      </c>
    </row>
    <row r="123" spans="1:25">
      <c r="G123" s="411"/>
      <c r="H123" s="411"/>
      <c r="I123" s="411"/>
      <c r="J123" s="411"/>
    </row>
    <row r="124" spans="1:25">
      <c r="A124" s="410" t="s">
        <v>4245</v>
      </c>
      <c r="B124" s="410">
        <v>17800</v>
      </c>
      <c r="C124" s="411"/>
      <c r="D124" s="411"/>
      <c r="E124" s="411"/>
      <c r="F124" s="411"/>
      <c r="G124" s="411"/>
      <c r="H124" s="411"/>
      <c r="I124" s="411"/>
      <c r="J124" s="411"/>
    </row>
    <row r="125" spans="1:25">
      <c r="A125" s="410" t="s">
        <v>6849</v>
      </c>
      <c r="B125" s="410">
        <v>4000</v>
      </c>
      <c r="C125" s="411"/>
      <c r="D125" s="411"/>
      <c r="E125" s="411"/>
      <c r="F125" s="411"/>
      <c r="G125" s="411"/>
      <c r="H125" s="411"/>
      <c r="I125" s="411"/>
      <c r="J125" s="411"/>
    </row>
    <row r="126" spans="1:25" ht="30">
      <c r="A126" s="410" t="s">
        <v>6848</v>
      </c>
      <c r="B126" s="410">
        <v>2134</v>
      </c>
      <c r="C126" s="411"/>
      <c r="D126" s="411"/>
      <c r="E126" s="411"/>
      <c r="F126" s="411"/>
      <c r="G126" s="412" t="s">
        <v>6845</v>
      </c>
      <c r="H126" s="415" t="s">
        <v>6846</v>
      </c>
      <c r="I126" s="413" t="s">
        <v>6847</v>
      </c>
      <c r="J126" s="413" t="s">
        <v>6850</v>
      </c>
    </row>
    <row r="127" spans="1:25" ht="15.75">
      <c r="A127" s="412"/>
      <c r="B127" s="410" t="s">
        <v>6843</v>
      </c>
      <c r="C127" s="410" t="s">
        <v>4827</v>
      </c>
      <c r="D127" s="410" t="s">
        <v>5834</v>
      </c>
      <c r="E127" s="412" t="s">
        <v>4216</v>
      </c>
      <c r="F127" s="412" t="s">
        <v>6844</v>
      </c>
      <c r="G127" s="414"/>
      <c r="H127" s="414"/>
      <c r="I127" s="414"/>
      <c r="J127" s="414"/>
    </row>
    <row r="128" spans="1:25" ht="15.75">
      <c r="A128" s="410" t="s">
        <v>4827</v>
      </c>
      <c r="B128" s="414">
        <v>6000000000</v>
      </c>
      <c r="C128" s="414">
        <v>0</v>
      </c>
      <c r="D128" s="414">
        <v>0</v>
      </c>
      <c r="E128" s="414">
        <v>0</v>
      </c>
      <c r="F128" s="414"/>
      <c r="G128" s="414">
        <f>F129*$B$124</f>
        <v>73465346565800</v>
      </c>
      <c r="H128" s="414">
        <f>G128/B129</f>
        <v>1813.9591744641975</v>
      </c>
      <c r="I128" s="414">
        <f>F129*$B$126/B129</f>
        <v>217.47128529812346</v>
      </c>
      <c r="J128" s="414">
        <f>F129*$B$125/B129</f>
        <v>407.63127516049383</v>
      </c>
    </row>
    <row r="129" spans="1:23" ht="15.75">
      <c r="A129" s="410" t="s">
        <v>5834</v>
      </c>
      <c r="B129" s="414">
        <v>40500000000</v>
      </c>
      <c r="C129" s="414">
        <v>4127266661</v>
      </c>
      <c r="D129" s="414">
        <v>0</v>
      </c>
      <c r="E129" s="414">
        <v>0</v>
      </c>
      <c r="F129" s="414">
        <f>C129</f>
        <v>4127266661</v>
      </c>
      <c r="G129" s="414">
        <f>F130*$B$124</f>
        <v>49884019697765.43</v>
      </c>
      <c r="H129" s="414">
        <f>G129/B130</f>
        <v>692.83360691340874</v>
      </c>
      <c r="I129" s="414">
        <f>F130*$B$126/B130</f>
        <v>83.06218635692214</v>
      </c>
      <c r="J129" s="414">
        <f>F130*$B$125/B130</f>
        <v>155.69294537379972</v>
      </c>
    </row>
    <row r="130" spans="1:23" ht="15.75">
      <c r="A130" s="410" t="s">
        <v>4216</v>
      </c>
      <c r="B130" s="414">
        <v>72000000000</v>
      </c>
      <c r="C130" s="414">
        <v>8000</v>
      </c>
      <c r="D130" s="414">
        <v>27500000000</v>
      </c>
      <c r="E130" s="414">
        <v>0</v>
      </c>
      <c r="F130" s="414">
        <f>C130+(D130/B129)*F129</f>
        <v>2802473016.728395</v>
      </c>
      <c r="G130" s="414">
        <f>F131*$B$124</f>
        <v>2127959166161.2981</v>
      </c>
      <c r="H130" s="414">
        <f>G130/B131</f>
        <v>177.3299305134415</v>
      </c>
      <c r="I130" s="414">
        <f>F131*$B$126/B131</f>
        <v>21.259666950319335</v>
      </c>
      <c r="J130" s="414">
        <f>F131*$B$125/B131</f>
        <v>39.849422587290228</v>
      </c>
    </row>
    <row r="131" spans="1:23" ht="15.75">
      <c r="A131" s="410" t="s">
        <v>4651</v>
      </c>
      <c r="B131" s="414">
        <v>12000000000</v>
      </c>
      <c r="C131" s="414">
        <v>84902942</v>
      </c>
      <c r="D131" s="414">
        <v>296603601</v>
      </c>
      <c r="E131" s="414">
        <v>113533718</v>
      </c>
      <c r="F131" s="414">
        <f>C131+(D131/B129)*F129+(E131/B130)*F130</f>
        <v>119548267.76187068</v>
      </c>
      <c r="G131" s="414">
        <f>F132*$B$124</f>
        <v>2325261683893.3311</v>
      </c>
      <c r="H131" s="414">
        <f>G131/B132</f>
        <v>77.508722796444374</v>
      </c>
      <c r="I131" s="414">
        <f>F132*$B$126/B132</f>
        <v>9.2923378903152969</v>
      </c>
      <c r="J131" s="414">
        <f>F132*$B$125/B132</f>
        <v>17.417690516054915</v>
      </c>
      <c r="W131" t="s">
        <v>25</v>
      </c>
    </row>
    <row r="132" spans="1:23" ht="15.75">
      <c r="A132" s="410" t="s">
        <v>5259</v>
      </c>
      <c r="B132" s="414">
        <v>30000000000</v>
      </c>
      <c r="C132" s="414">
        <v>0</v>
      </c>
      <c r="D132" s="414">
        <v>0</v>
      </c>
      <c r="E132" s="414">
        <v>3356161798</v>
      </c>
      <c r="F132" s="414">
        <f>(E132/B130)*F130</f>
        <v>130632678.87041186</v>
      </c>
    </row>
    <row r="133" spans="1:23">
      <c r="K133" s="94"/>
    </row>
    <row r="134" spans="1:23">
      <c r="K134" s="94"/>
    </row>
    <row r="140" spans="1:23">
      <c r="V140" t="s">
        <v>25</v>
      </c>
    </row>
    <row r="143" spans="1:23">
      <c r="V143" t="s">
        <v>25</v>
      </c>
    </row>
    <row r="148" spans="23:25">
      <c r="W148" t="s">
        <v>25</v>
      </c>
    </row>
    <row r="151" spans="23:25">
      <c r="Y151" t="s">
        <v>25</v>
      </c>
    </row>
    <row r="154" spans="23:25">
      <c r="X154" t="s">
        <v>25</v>
      </c>
      <c r="Y154" t="s">
        <v>25</v>
      </c>
    </row>
    <row r="158" spans="23:25">
      <c r="Y158" t="s">
        <v>25</v>
      </c>
    </row>
    <row r="161" spans="16:25">
      <c r="X161" t="s">
        <v>25</v>
      </c>
    </row>
    <row r="163" spans="16:25">
      <c r="Y163" t="s">
        <v>25</v>
      </c>
    </row>
    <row r="166" spans="16:25">
      <c r="X166" t="s">
        <v>25</v>
      </c>
    </row>
    <row r="174" spans="16:25">
      <c r="U174" t="s">
        <v>25</v>
      </c>
    </row>
    <row r="176" spans="16:25">
      <c r="P176" s="94"/>
    </row>
    <row r="177" spans="15:21">
      <c r="S177" t="s">
        <v>25</v>
      </c>
    </row>
    <row r="178" spans="15:21">
      <c r="Q178" t="s">
        <v>25</v>
      </c>
      <c r="R178" t="s">
        <v>25</v>
      </c>
    </row>
    <row r="179" spans="15:21">
      <c r="O179" t="s">
        <v>25</v>
      </c>
      <c r="R179" t="s">
        <v>25</v>
      </c>
    </row>
    <row r="180" spans="15:21">
      <c r="P180" t="s">
        <v>25</v>
      </c>
      <c r="R180" t="s">
        <v>25</v>
      </c>
    </row>
    <row r="181" spans="15:21">
      <c r="R181" t="s">
        <v>25</v>
      </c>
      <c r="U181" s="94"/>
    </row>
    <row r="182" spans="15:21">
      <c r="O182" t="s">
        <v>25</v>
      </c>
      <c r="U182" s="94"/>
    </row>
    <row r="183" spans="15:21">
      <c r="T183" t="s">
        <v>25</v>
      </c>
      <c r="U183" s="94"/>
    </row>
    <row r="184" spans="15:21">
      <c r="R184" t="s">
        <v>25</v>
      </c>
      <c r="U184" s="94"/>
    </row>
    <row r="185" spans="15:21">
      <c r="U185" s="94"/>
    </row>
    <row r="187" spans="15:21">
      <c r="Q187" s="94"/>
      <c r="R187" s="94"/>
    </row>
    <row r="188" spans="15:21">
      <c r="Q188" s="94"/>
      <c r="R188" s="94"/>
    </row>
    <row r="189" spans="15:21">
      <c r="Q189" s="94"/>
      <c r="R189" s="94"/>
      <c r="S189" s="94"/>
      <c r="T189" s="94"/>
    </row>
    <row r="190" spans="15:21">
      <c r="S190" s="94"/>
      <c r="T190" s="94"/>
    </row>
    <row r="191" spans="15:21">
      <c r="S191" s="94"/>
      <c r="T191" s="94"/>
    </row>
    <row r="192" spans="15:21">
      <c r="S192" s="94"/>
      <c r="T192" s="94"/>
    </row>
    <row r="193" spans="17:20">
      <c r="S193" s="94"/>
      <c r="T193" s="94"/>
    </row>
    <row r="200" spans="17:20">
      <c r="Q200" t="s">
        <v>25</v>
      </c>
    </row>
  </sheetData>
  <pageMargins left="0.7" right="0.7" top="0.75" bottom="0.75" header="0.3" footer="0.3"/>
  <pageSetup orientation="portrait" horizontalDpi="1200" verticalDpi="1200" r:id="rId1"/>
  <ignoredErrors>
    <ignoredError sqref="H4:H5" formula="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5264</v>
      </c>
      <c r="E1" s="97"/>
      <c r="F1" s="97"/>
      <c r="G1" s="97"/>
      <c r="H1" s="97"/>
      <c r="I1" s="97"/>
    </row>
    <row r="2" spans="1:15">
      <c r="A2" s="97">
        <v>1</v>
      </c>
      <c r="B2" s="97" t="s">
        <v>5174</v>
      </c>
      <c r="C2" s="93">
        <v>28500</v>
      </c>
      <c r="D2" s="97" t="s">
        <v>5267</v>
      </c>
      <c r="E2" s="97"/>
      <c r="F2" s="97"/>
      <c r="G2" s="97"/>
      <c r="H2" s="97"/>
      <c r="I2" s="97"/>
    </row>
    <row r="3" spans="1:15">
      <c r="A3" s="97">
        <v>2</v>
      </c>
      <c r="B3" s="97" t="s">
        <v>5201</v>
      </c>
      <c r="C3" s="93">
        <v>180200</v>
      </c>
      <c r="D3" s="97" t="s">
        <v>5266</v>
      </c>
      <c r="E3" s="97"/>
      <c r="F3" s="97"/>
      <c r="G3" s="97"/>
      <c r="H3" s="97"/>
      <c r="I3" s="97"/>
    </row>
    <row r="4" spans="1:15">
      <c r="A4" s="97">
        <v>3</v>
      </c>
      <c r="B4" s="97" t="s">
        <v>5260</v>
      </c>
      <c r="C4" s="93">
        <v>187000</v>
      </c>
      <c r="D4" s="97" t="s">
        <v>5265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5364</v>
      </c>
      <c r="F2" s="67" t="s">
        <v>1218</v>
      </c>
      <c r="G2" s="67" t="s">
        <v>924</v>
      </c>
      <c r="H2" s="67" t="s">
        <v>5381</v>
      </c>
    </row>
    <row r="3" spans="1:8">
      <c r="A3" s="97"/>
      <c r="B3" s="97" t="s">
        <v>4358</v>
      </c>
      <c r="C3" s="97">
        <v>874</v>
      </c>
      <c r="D3" s="115">
        <v>6337102</v>
      </c>
      <c r="E3" s="115">
        <f>D3/C3</f>
        <v>7250.6887871853551</v>
      </c>
      <c r="F3" s="115">
        <f>E3*1.01</f>
        <v>7323.195675057209</v>
      </c>
      <c r="G3" s="97">
        <f>'برنامه 5 ساله'!P55</f>
        <v>19445</v>
      </c>
      <c r="H3" s="115">
        <f>C3*G3</f>
        <v>16994930</v>
      </c>
    </row>
    <row r="4" spans="1:8">
      <c r="A4" s="97"/>
      <c r="B4" s="97" t="s">
        <v>4216</v>
      </c>
      <c r="C4" s="97">
        <v>295000</v>
      </c>
      <c r="D4" s="115">
        <v>148594302</v>
      </c>
      <c r="E4" s="115">
        <f>D4/C4</f>
        <v>503.70949830508476</v>
      </c>
      <c r="F4" s="115">
        <f>E4*1.01</f>
        <v>508.74659328813561</v>
      </c>
      <c r="G4" s="97">
        <f>'برنامه 5 ساله'!P40</f>
        <v>1471</v>
      </c>
      <c r="H4" s="115">
        <f>C4*G4</f>
        <v>433945000</v>
      </c>
    </row>
    <row r="5" spans="1:8">
      <c r="A5" s="97"/>
      <c r="B5" s="97" t="s">
        <v>4371</v>
      </c>
      <c r="C5" s="97">
        <v>2850</v>
      </c>
      <c r="D5" s="115">
        <v>4015726</v>
      </c>
      <c r="E5" s="115">
        <f>D5/C5</f>
        <v>1409.0266666666666</v>
      </c>
      <c r="F5" s="115">
        <f>E5*1.01</f>
        <v>1423.1169333333332</v>
      </c>
      <c r="G5" s="97">
        <v>2600</v>
      </c>
      <c r="H5" s="115">
        <f>C5*G5</f>
        <v>7410000</v>
      </c>
    </row>
    <row r="6" spans="1:8">
      <c r="A6" s="97" t="s">
        <v>5363</v>
      </c>
      <c r="B6" s="97" t="s">
        <v>5273</v>
      </c>
      <c r="C6" s="97">
        <v>0</v>
      </c>
      <c r="D6" s="115">
        <v>683292</v>
      </c>
      <c r="E6" s="115"/>
      <c r="F6" s="115"/>
      <c r="G6" s="97">
        <v>870</v>
      </c>
      <c r="H6" s="115">
        <f>D6</f>
        <v>683292</v>
      </c>
    </row>
    <row r="7" spans="1:8">
      <c r="A7" s="97" t="s">
        <v>5363</v>
      </c>
      <c r="B7" s="97" t="s">
        <v>4508</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459304191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5381</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1471</v>
      </c>
      <c r="H19" s="115">
        <f>C19*G19</f>
        <v>19028856</v>
      </c>
    </row>
    <row r="20" spans="1:8">
      <c r="A20" s="97"/>
      <c r="B20" s="97" t="s">
        <v>5273</v>
      </c>
      <c r="C20" s="97">
        <v>4687</v>
      </c>
      <c r="D20" s="115">
        <v>1911597</v>
      </c>
      <c r="E20" s="115">
        <f>D20/C20</f>
        <v>407.85086409216984</v>
      </c>
      <c r="F20" s="115">
        <f>E20*1.01</f>
        <v>411.92937273309155</v>
      </c>
      <c r="G20" s="97">
        <f>G6</f>
        <v>870</v>
      </c>
      <c r="H20" s="115">
        <f>C20*G20</f>
        <v>4077690</v>
      </c>
    </row>
    <row r="21" spans="1:8">
      <c r="A21" s="97" t="s">
        <v>5363</v>
      </c>
      <c r="B21" s="97" t="s">
        <v>4508</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289792139</v>
      </c>
    </row>
    <row r="26" spans="1:8">
      <c r="D26" t="s">
        <v>5382</v>
      </c>
      <c r="E26" s="112">
        <f>'خرید خانه'!H10+'خرید خانه'!H23-'خرید خانه'!D10-'خرید خانه'!D23</f>
        <v>447396330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108" workbookViewId="0">
      <selection activeCell="E146" sqref="E146"/>
    </sheetView>
  </sheetViews>
  <sheetFormatPr defaultRowHeight="15"/>
  <cols>
    <col min="1" max="1" width="16.140625" style="310" customWidth="1"/>
    <col min="2" max="2" width="19.28515625" style="310" customWidth="1"/>
    <col min="3" max="3" width="12.5703125" style="310" bestFit="1" customWidth="1"/>
    <col min="4" max="4" width="7" style="310" customWidth="1"/>
    <col min="5" max="5" width="18.85546875" style="310" bestFit="1" customWidth="1"/>
    <col min="6" max="6" width="27.42578125" style="310" bestFit="1" customWidth="1"/>
    <col min="7" max="16384" width="9.140625" style="310"/>
  </cols>
  <sheetData>
    <row r="1" spans="1:6">
      <c r="A1" s="310" t="s">
        <v>4895</v>
      </c>
    </row>
    <row r="2" spans="1:6">
      <c r="A2" s="205" t="s">
        <v>180</v>
      </c>
      <c r="B2" s="205" t="s">
        <v>267</v>
      </c>
      <c r="C2" s="205" t="s">
        <v>4893</v>
      </c>
      <c r="D2" s="205"/>
      <c r="E2" s="205"/>
      <c r="F2" s="205"/>
    </row>
    <row r="3" spans="1:6">
      <c r="A3" s="205" t="s">
        <v>4886</v>
      </c>
      <c r="B3" s="18">
        <v>7500000</v>
      </c>
      <c r="C3" s="205">
        <v>4</v>
      </c>
      <c r="D3" s="205">
        <f t="shared" ref="D3:D34" si="0">C3+D4</f>
        <v>1001</v>
      </c>
      <c r="E3" s="205">
        <f t="shared" ref="E3:E34" si="1">B3*D3</f>
        <v>7507500000</v>
      </c>
      <c r="F3" s="205"/>
    </row>
    <row r="4" spans="1:6">
      <c r="A4" s="205" t="s">
        <v>4892</v>
      </c>
      <c r="B4" s="18">
        <v>-500000</v>
      </c>
      <c r="C4" s="205">
        <v>7</v>
      </c>
      <c r="D4" s="205">
        <f t="shared" si="0"/>
        <v>997</v>
      </c>
      <c r="E4" s="205">
        <f t="shared" si="1"/>
        <v>-498500000</v>
      </c>
      <c r="F4" s="205"/>
    </row>
    <row r="5" spans="1:6">
      <c r="A5" s="205" t="s">
        <v>4900</v>
      </c>
      <c r="B5" s="18">
        <v>-7000000</v>
      </c>
      <c r="C5" s="205">
        <v>1</v>
      </c>
      <c r="D5" s="205">
        <f t="shared" si="0"/>
        <v>990</v>
      </c>
      <c r="E5" s="205">
        <f t="shared" si="1"/>
        <v>-6930000000</v>
      </c>
      <c r="F5" s="205"/>
    </row>
    <row r="6" spans="1:6">
      <c r="A6" s="205" t="s">
        <v>4903</v>
      </c>
      <c r="B6" s="18">
        <v>2000000</v>
      </c>
      <c r="C6" s="205">
        <v>6</v>
      </c>
      <c r="D6" s="205">
        <f t="shared" si="0"/>
        <v>989</v>
      </c>
      <c r="E6" s="205">
        <f t="shared" si="1"/>
        <v>1978000000</v>
      </c>
      <c r="F6" s="205"/>
    </row>
    <row r="7" spans="1:6">
      <c r="A7" s="205" t="s">
        <v>4915</v>
      </c>
      <c r="B7" s="18">
        <v>1000000</v>
      </c>
      <c r="C7" s="205">
        <v>3</v>
      </c>
      <c r="D7" s="205">
        <f t="shared" si="0"/>
        <v>983</v>
      </c>
      <c r="E7" s="205">
        <f t="shared" si="1"/>
        <v>983000000</v>
      </c>
      <c r="F7" s="205"/>
    </row>
    <row r="8" spans="1:6">
      <c r="A8" s="205" t="s">
        <v>4922</v>
      </c>
      <c r="B8" s="18">
        <v>200000</v>
      </c>
      <c r="C8" s="205">
        <v>3</v>
      </c>
      <c r="D8" s="205">
        <f t="shared" si="0"/>
        <v>980</v>
      </c>
      <c r="E8" s="205">
        <f t="shared" si="1"/>
        <v>196000000</v>
      </c>
      <c r="F8" s="205"/>
    </row>
    <row r="9" spans="1:6">
      <c r="A9" s="205" t="s">
        <v>4925</v>
      </c>
      <c r="B9" s="18">
        <v>-3200000</v>
      </c>
      <c r="C9" s="205">
        <v>6</v>
      </c>
      <c r="D9" s="205">
        <f t="shared" si="0"/>
        <v>977</v>
      </c>
      <c r="E9" s="205">
        <f t="shared" si="1"/>
        <v>-3126400000</v>
      </c>
      <c r="F9" s="205"/>
    </row>
    <row r="10" spans="1:6">
      <c r="A10" s="205" t="s">
        <v>4937</v>
      </c>
      <c r="B10" s="18">
        <v>6000000</v>
      </c>
      <c r="C10" s="205">
        <v>1</v>
      </c>
      <c r="D10" s="205">
        <f t="shared" si="0"/>
        <v>971</v>
      </c>
      <c r="E10" s="205">
        <f t="shared" si="1"/>
        <v>5826000000</v>
      </c>
      <c r="F10" s="205"/>
    </row>
    <row r="11" spans="1:6">
      <c r="A11" s="205" t="s">
        <v>4938</v>
      </c>
      <c r="B11" s="18">
        <v>2000000</v>
      </c>
      <c r="C11" s="205">
        <v>3</v>
      </c>
      <c r="D11" s="205">
        <f t="shared" si="0"/>
        <v>970</v>
      </c>
      <c r="E11" s="205">
        <f t="shared" si="1"/>
        <v>1940000000</v>
      </c>
      <c r="F11" s="205"/>
    </row>
    <row r="12" spans="1:6">
      <c r="A12" s="205" t="s">
        <v>4945</v>
      </c>
      <c r="B12" s="18">
        <v>-50000</v>
      </c>
      <c r="C12" s="205">
        <v>7</v>
      </c>
      <c r="D12" s="205">
        <f t="shared" si="0"/>
        <v>967</v>
      </c>
      <c r="E12" s="205">
        <f t="shared" si="1"/>
        <v>-48350000</v>
      </c>
      <c r="F12" s="205"/>
    </row>
    <row r="13" spans="1:6">
      <c r="A13" s="205" t="s">
        <v>4951</v>
      </c>
      <c r="B13" s="18">
        <v>-2480000</v>
      </c>
      <c r="C13" s="205">
        <v>5</v>
      </c>
      <c r="D13" s="205">
        <f t="shared" si="0"/>
        <v>960</v>
      </c>
      <c r="E13" s="205">
        <f t="shared" si="1"/>
        <v>-2380800000</v>
      </c>
      <c r="F13" s="205"/>
    </row>
    <row r="14" spans="1:6">
      <c r="A14" s="205" t="s">
        <v>4959</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4968</v>
      </c>
      <c r="B16" s="18">
        <v>500000</v>
      </c>
      <c r="C16" s="205">
        <v>2</v>
      </c>
      <c r="D16" s="205">
        <f t="shared" si="0"/>
        <v>948</v>
      </c>
      <c r="E16" s="205">
        <f t="shared" si="1"/>
        <v>474000000</v>
      </c>
      <c r="F16" s="205"/>
    </row>
    <row r="17" spans="1:6">
      <c r="A17" s="205" t="s">
        <v>4974</v>
      </c>
      <c r="B17" s="18">
        <v>100000</v>
      </c>
      <c r="C17" s="205">
        <v>1</v>
      </c>
      <c r="D17" s="205">
        <f t="shared" si="0"/>
        <v>946</v>
      </c>
      <c r="E17" s="205">
        <f t="shared" si="1"/>
        <v>94600000</v>
      </c>
      <c r="F17" s="205"/>
    </row>
    <row r="18" spans="1:6">
      <c r="A18" s="205" t="s">
        <v>4975</v>
      </c>
      <c r="B18" s="18">
        <v>-6423626</v>
      </c>
      <c r="C18" s="205">
        <v>1</v>
      </c>
      <c r="D18" s="205">
        <f t="shared" si="0"/>
        <v>945</v>
      </c>
      <c r="E18" s="205">
        <f t="shared" si="1"/>
        <v>-6070326570</v>
      </c>
      <c r="F18" s="205"/>
    </row>
    <row r="19" spans="1:6">
      <c r="A19" s="205" t="s">
        <v>4978</v>
      </c>
      <c r="B19" s="18">
        <v>-4592486</v>
      </c>
      <c r="C19" s="205">
        <v>0</v>
      </c>
      <c r="D19" s="205">
        <f t="shared" si="0"/>
        <v>944</v>
      </c>
      <c r="E19" s="205">
        <f t="shared" si="1"/>
        <v>-4335306784</v>
      </c>
      <c r="F19" s="205"/>
    </row>
    <row r="20" spans="1:6">
      <c r="A20" s="205" t="s">
        <v>4978</v>
      </c>
      <c r="B20" s="18">
        <v>4346112</v>
      </c>
      <c r="C20" s="205">
        <v>11</v>
      </c>
      <c r="D20" s="205">
        <f t="shared" si="0"/>
        <v>944</v>
      </c>
      <c r="E20" s="205">
        <f t="shared" si="1"/>
        <v>4102729728</v>
      </c>
      <c r="F20" s="205"/>
    </row>
    <row r="21" spans="1:6">
      <c r="A21" s="205" t="s">
        <v>4991</v>
      </c>
      <c r="B21" s="18">
        <v>1500000</v>
      </c>
      <c r="C21" s="205">
        <v>16</v>
      </c>
      <c r="D21" s="205">
        <f t="shared" si="0"/>
        <v>933</v>
      </c>
      <c r="E21" s="205">
        <f t="shared" si="1"/>
        <v>1399500000</v>
      </c>
      <c r="F21" s="205"/>
    </row>
    <row r="22" spans="1:6">
      <c r="A22" s="205" t="s">
        <v>4981</v>
      </c>
      <c r="B22" s="18">
        <v>6000000</v>
      </c>
      <c r="C22" s="205">
        <v>8</v>
      </c>
      <c r="D22" s="205">
        <f t="shared" si="0"/>
        <v>917</v>
      </c>
      <c r="E22" s="205">
        <f t="shared" si="1"/>
        <v>5502000000</v>
      </c>
      <c r="F22" s="205"/>
    </row>
    <row r="23" spans="1:6">
      <c r="A23" s="205" t="s">
        <v>5031</v>
      </c>
      <c r="B23" s="18">
        <v>-50000</v>
      </c>
      <c r="C23" s="205">
        <v>3</v>
      </c>
      <c r="D23" s="205">
        <f t="shared" si="0"/>
        <v>909</v>
      </c>
      <c r="E23" s="205">
        <f t="shared" si="1"/>
        <v>-45450000</v>
      </c>
      <c r="F23" s="205"/>
    </row>
    <row r="24" spans="1:6">
      <c r="A24" s="205" t="s">
        <v>5034</v>
      </c>
      <c r="B24" s="18">
        <v>-20000</v>
      </c>
      <c r="C24" s="205">
        <v>7</v>
      </c>
      <c r="D24" s="205">
        <f t="shared" si="0"/>
        <v>906</v>
      </c>
      <c r="E24" s="205">
        <f t="shared" si="1"/>
        <v>-18120000</v>
      </c>
      <c r="F24" s="205"/>
    </row>
    <row r="25" spans="1:6">
      <c r="A25" s="205" t="s">
        <v>4993</v>
      </c>
      <c r="B25" s="18">
        <v>6000000</v>
      </c>
      <c r="C25" s="205">
        <v>1</v>
      </c>
      <c r="D25" s="205">
        <f t="shared" si="0"/>
        <v>899</v>
      </c>
      <c r="E25" s="205">
        <f t="shared" si="1"/>
        <v>5394000000</v>
      </c>
      <c r="F25" s="205"/>
    </row>
    <row r="26" spans="1:6">
      <c r="A26" s="205" t="s">
        <v>5050</v>
      </c>
      <c r="B26" s="18">
        <v>-2302282</v>
      </c>
      <c r="C26" s="205">
        <v>6</v>
      </c>
      <c r="D26" s="205">
        <f t="shared" si="0"/>
        <v>898</v>
      </c>
      <c r="E26" s="205">
        <f t="shared" si="1"/>
        <v>-2067449236</v>
      </c>
      <c r="F26" s="205"/>
    </row>
    <row r="27" spans="1:6">
      <c r="A27" s="205" t="s">
        <v>5055</v>
      </c>
      <c r="B27" s="18">
        <v>100000</v>
      </c>
      <c r="C27" s="205">
        <v>1</v>
      </c>
      <c r="D27" s="205">
        <f t="shared" si="0"/>
        <v>892</v>
      </c>
      <c r="E27" s="205">
        <f t="shared" si="1"/>
        <v>89200000</v>
      </c>
      <c r="F27" s="205"/>
    </row>
    <row r="28" spans="1:6">
      <c r="A28" s="205" t="s">
        <v>5058</v>
      </c>
      <c r="B28" s="18">
        <v>-1727718</v>
      </c>
      <c r="C28" s="205">
        <v>2</v>
      </c>
      <c r="D28" s="205">
        <f t="shared" si="0"/>
        <v>891</v>
      </c>
      <c r="E28" s="205">
        <f t="shared" si="1"/>
        <v>-1539396738</v>
      </c>
      <c r="F28" s="205"/>
    </row>
    <row r="29" spans="1:6">
      <c r="A29" s="205" t="s">
        <v>5062</v>
      </c>
      <c r="B29" s="18">
        <v>-1000000</v>
      </c>
      <c r="C29" s="205">
        <v>0</v>
      </c>
      <c r="D29" s="205">
        <f t="shared" si="0"/>
        <v>889</v>
      </c>
      <c r="E29" s="205">
        <f t="shared" si="1"/>
        <v>-889000000</v>
      </c>
      <c r="F29" s="205"/>
    </row>
    <row r="30" spans="1:6">
      <c r="A30" s="205" t="s">
        <v>5062</v>
      </c>
      <c r="B30" s="18">
        <v>-439200</v>
      </c>
      <c r="C30" s="205">
        <v>1</v>
      </c>
      <c r="D30" s="205">
        <f t="shared" si="0"/>
        <v>889</v>
      </c>
      <c r="E30" s="205">
        <f t="shared" si="1"/>
        <v>-390448800</v>
      </c>
      <c r="F30" s="205"/>
    </row>
    <row r="31" spans="1:6">
      <c r="A31" s="205" t="s">
        <v>5065</v>
      </c>
      <c r="B31" s="18">
        <v>-3631879</v>
      </c>
      <c r="C31" s="205">
        <v>3</v>
      </c>
      <c r="D31" s="205">
        <f t="shared" si="0"/>
        <v>888</v>
      </c>
      <c r="E31" s="205">
        <f t="shared" si="1"/>
        <v>-3225108552</v>
      </c>
      <c r="F31" s="205"/>
    </row>
    <row r="32" spans="1:6">
      <c r="A32" s="205" t="s">
        <v>5090</v>
      </c>
      <c r="B32" s="18">
        <v>-2428921</v>
      </c>
      <c r="C32" s="205">
        <v>9</v>
      </c>
      <c r="D32" s="205">
        <f t="shared" si="0"/>
        <v>885</v>
      </c>
      <c r="E32" s="205">
        <f t="shared" si="1"/>
        <v>-2149595085</v>
      </c>
      <c r="F32" s="205"/>
    </row>
    <row r="33" spans="1:6">
      <c r="A33" s="205" t="s">
        <v>5109</v>
      </c>
      <c r="B33" s="18">
        <v>-500000</v>
      </c>
      <c r="C33" s="205">
        <v>1</v>
      </c>
      <c r="D33" s="205">
        <f t="shared" si="0"/>
        <v>876</v>
      </c>
      <c r="E33" s="205">
        <f t="shared" si="1"/>
        <v>-438000000</v>
      </c>
      <c r="F33" s="205"/>
    </row>
    <row r="34" spans="1:6">
      <c r="A34" s="205" t="s">
        <v>5110</v>
      </c>
      <c r="B34" s="18">
        <v>-2603</v>
      </c>
      <c r="C34" s="205">
        <v>0</v>
      </c>
      <c r="D34" s="205">
        <f t="shared" si="0"/>
        <v>875</v>
      </c>
      <c r="E34" s="205">
        <f t="shared" si="1"/>
        <v>-2277625</v>
      </c>
      <c r="F34" s="205" t="s">
        <v>5111</v>
      </c>
    </row>
    <row r="35" spans="1:6">
      <c r="A35" s="205" t="s">
        <v>5110</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5124</v>
      </c>
      <c r="B37" s="18">
        <v>300000</v>
      </c>
      <c r="C37" s="205">
        <v>3</v>
      </c>
      <c r="D37" s="205">
        <f t="shared" si="2"/>
        <v>863</v>
      </c>
      <c r="E37" s="205">
        <f t="shared" si="3"/>
        <v>258900000</v>
      </c>
      <c r="F37" s="205"/>
    </row>
    <row r="38" spans="1:6">
      <c r="A38" s="205" t="s">
        <v>5130</v>
      </c>
      <c r="B38" s="18">
        <v>-50000</v>
      </c>
      <c r="C38" s="205">
        <v>3</v>
      </c>
      <c r="D38" s="205">
        <f t="shared" si="2"/>
        <v>860</v>
      </c>
      <c r="E38" s="205">
        <f t="shared" si="3"/>
        <v>-43000000</v>
      </c>
      <c r="F38" s="205"/>
    </row>
    <row r="39" spans="1:6">
      <c r="A39" s="205" t="s">
        <v>5135</v>
      </c>
      <c r="B39" s="18">
        <v>-1683146</v>
      </c>
      <c r="C39" s="205">
        <v>10</v>
      </c>
      <c r="D39" s="205">
        <f t="shared" si="2"/>
        <v>857</v>
      </c>
      <c r="E39" s="205">
        <f t="shared" si="3"/>
        <v>-1442456122</v>
      </c>
      <c r="F39" s="205"/>
    </row>
    <row r="40" spans="1:6">
      <c r="A40" s="205" t="s">
        <v>5147</v>
      </c>
      <c r="B40" s="18">
        <v>700000</v>
      </c>
      <c r="C40" s="205">
        <v>18</v>
      </c>
      <c r="D40" s="205">
        <f t="shared" si="2"/>
        <v>847</v>
      </c>
      <c r="E40" s="205">
        <f t="shared" si="3"/>
        <v>592900000</v>
      </c>
      <c r="F40" s="205"/>
    </row>
    <row r="41" spans="1:6">
      <c r="A41" s="205" t="s">
        <v>5160</v>
      </c>
      <c r="B41" s="18">
        <v>-700000</v>
      </c>
      <c r="C41" s="205">
        <v>46</v>
      </c>
      <c r="D41" s="205">
        <f t="shared" si="2"/>
        <v>829</v>
      </c>
      <c r="E41" s="205">
        <f t="shared" si="3"/>
        <v>-580300000</v>
      </c>
      <c r="F41" s="205"/>
    </row>
    <row r="42" spans="1:6">
      <c r="A42" s="205" t="s">
        <v>5210</v>
      </c>
      <c r="B42" s="18">
        <v>1000000</v>
      </c>
      <c r="C42" s="205">
        <v>4</v>
      </c>
      <c r="D42" s="205">
        <f t="shared" si="2"/>
        <v>783</v>
      </c>
      <c r="E42" s="205">
        <f t="shared" si="3"/>
        <v>783000000</v>
      </c>
      <c r="F42" s="205"/>
    </row>
    <row r="43" spans="1:6">
      <c r="A43" s="205" t="s">
        <v>5214</v>
      </c>
      <c r="B43" s="18">
        <v>1500000</v>
      </c>
      <c r="C43" s="205">
        <v>1</v>
      </c>
      <c r="D43" s="205">
        <f t="shared" si="2"/>
        <v>779</v>
      </c>
      <c r="E43" s="205">
        <f t="shared" si="3"/>
        <v>1168500000</v>
      </c>
      <c r="F43" s="205"/>
    </row>
    <row r="44" spans="1:6">
      <c r="A44" s="205" t="s">
        <v>5215</v>
      </c>
      <c r="B44" s="18">
        <v>-1500000</v>
      </c>
      <c r="C44" s="205">
        <v>15</v>
      </c>
      <c r="D44" s="205">
        <f t="shared" si="2"/>
        <v>778</v>
      </c>
      <c r="E44" s="205">
        <f t="shared" si="3"/>
        <v>-1167000000</v>
      </c>
      <c r="F44" s="205"/>
    </row>
    <row r="45" spans="1:6">
      <c r="A45" s="205" t="s">
        <v>5238</v>
      </c>
      <c r="B45" s="18">
        <v>-100000</v>
      </c>
      <c r="C45" s="205">
        <v>5</v>
      </c>
      <c r="D45" s="205">
        <f t="shared" si="2"/>
        <v>763</v>
      </c>
      <c r="E45" s="205">
        <f t="shared" si="3"/>
        <v>-76300000</v>
      </c>
      <c r="F45" s="205"/>
    </row>
    <row r="46" spans="1:6">
      <c r="A46" s="205" t="s">
        <v>5242</v>
      </c>
      <c r="B46" s="18">
        <v>1164690</v>
      </c>
      <c r="C46" s="205">
        <v>4</v>
      </c>
      <c r="D46" s="205">
        <f t="shared" si="2"/>
        <v>758</v>
      </c>
      <c r="E46" s="205">
        <f t="shared" si="3"/>
        <v>882835020</v>
      </c>
      <c r="F46" s="205"/>
    </row>
    <row r="47" spans="1:6">
      <c r="A47" s="205" t="s">
        <v>5251</v>
      </c>
      <c r="B47" s="18">
        <v>1000000</v>
      </c>
      <c r="C47" s="205">
        <v>4</v>
      </c>
      <c r="D47" s="205">
        <f t="shared" si="2"/>
        <v>754</v>
      </c>
      <c r="E47" s="205">
        <f t="shared" si="3"/>
        <v>754000000</v>
      </c>
      <c r="F47" s="205"/>
    </row>
    <row r="48" spans="1:6">
      <c r="A48" s="205" t="s">
        <v>5256</v>
      </c>
      <c r="B48" s="18">
        <v>-264690</v>
      </c>
      <c r="C48" s="205">
        <v>7</v>
      </c>
      <c r="D48" s="205">
        <f t="shared" si="2"/>
        <v>750</v>
      </c>
      <c r="E48" s="205">
        <f t="shared" si="3"/>
        <v>-198517500</v>
      </c>
      <c r="F48" s="205"/>
    </row>
    <row r="49" spans="1:6">
      <c r="A49" s="205" t="s">
        <v>5272</v>
      </c>
      <c r="B49" s="18">
        <v>2700000</v>
      </c>
      <c r="C49" s="205">
        <v>0</v>
      </c>
      <c r="D49" s="205">
        <f t="shared" si="2"/>
        <v>743</v>
      </c>
      <c r="E49" s="205">
        <f t="shared" si="3"/>
        <v>2006100000</v>
      </c>
      <c r="F49" s="205"/>
    </row>
    <row r="50" spans="1:6">
      <c r="A50" s="205" t="s">
        <v>5272</v>
      </c>
      <c r="B50" s="18">
        <v>-1000000</v>
      </c>
      <c r="C50" s="205">
        <v>1</v>
      </c>
      <c r="D50" s="205">
        <f t="shared" si="2"/>
        <v>743</v>
      </c>
      <c r="E50" s="205">
        <f t="shared" si="3"/>
        <v>-743000000</v>
      </c>
      <c r="F50" s="205" t="s">
        <v>5274</v>
      </c>
    </row>
    <row r="51" spans="1:6">
      <c r="A51" s="205" t="s">
        <v>5276</v>
      </c>
      <c r="B51" s="18">
        <v>-75616</v>
      </c>
      <c r="C51" s="205">
        <v>2</v>
      </c>
      <c r="D51" s="205">
        <f t="shared" si="2"/>
        <v>742</v>
      </c>
      <c r="E51" s="205">
        <f t="shared" si="3"/>
        <v>-56107072</v>
      </c>
      <c r="F51" s="205" t="s">
        <v>5277</v>
      </c>
    </row>
    <row r="52" spans="1:6">
      <c r="A52" s="205" t="s">
        <v>961</v>
      </c>
      <c r="B52" s="18">
        <v>-2424384</v>
      </c>
      <c r="C52" s="205">
        <v>2</v>
      </c>
      <c r="D52" s="205">
        <f t="shared" si="2"/>
        <v>740</v>
      </c>
      <c r="E52" s="205">
        <f t="shared" si="3"/>
        <v>-1794044160</v>
      </c>
      <c r="F52" s="205"/>
    </row>
    <row r="53" spans="1:6">
      <c r="A53" s="205" t="s">
        <v>5290</v>
      </c>
      <c r="B53" s="18">
        <v>-2000000</v>
      </c>
      <c r="C53" s="205">
        <v>6</v>
      </c>
      <c r="D53" s="205">
        <f t="shared" si="2"/>
        <v>738</v>
      </c>
      <c r="E53" s="205">
        <f t="shared" si="3"/>
        <v>-1476000000</v>
      </c>
      <c r="F53" s="205"/>
    </row>
    <row r="54" spans="1:6">
      <c r="A54" s="205" t="s">
        <v>5322</v>
      </c>
      <c r="B54" s="18">
        <v>2500000</v>
      </c>
      <c r="C54" s="205">
        <v>1</v>
      </c>
      <c r="D54" s="205">
        <f t="shared" si="2"/>
        <v>732</v>
      </c>
      <c r="E54" s="205">
        <f t="shared" si="3"/>
        <v>1830000000</v>
      </c>
      <c r="F54" s="205"/>
    </row>
    <row r="55" spans="1:6">
      <c r="A55" s="205" t="s">
        <v>5325</v>
      </c>
      <c r="B55" s="18">
        <v>3000000</v>
      </c>
      <c r="C55" s="205">
        <v>3</v>
      </c>
      <c r="D55" s="205">
        <f t="shared" si="2"/>
        <v>731</v>
      </c>
      <c r="E55" s="205">
        <f t="shared" si="3"/>
        <v>2193000000</v>
      </c>
      <c r="F55" s="205"/>
    </row>
    <row r="56" spans="1:6">
      <c r="A56" s="205" t="s">
        <v>5331</v>
      </c>
      <c r="B56" s="18">
        <v>-300000</v>
      </c>
      <c r="C56" s="205">
        <v>5</v>
      </c>
      <c r="D56" s="205">
        <f t="shared" si="2"/>
        <v>728</v>
      </c>
      <c r="E56" s="205">
        <f t="shared" si="3"/>
        <v>-218400000</v>
      </c>
      <c r="F56" s="205"/>
    </row>
    <row r="57" spans="1:6">
      <c r="A57" s="205" t="s">
        <v>5342</v>
      </c>
      <c r="B57" s="18">
        <v>500000</v>
      </c>
      <c r="C57" s="205">
        <v>1</v>
      </c>
      <c r="D57" s="205">
        <f t="shared" si="2"/>
        <v>723</v>
      </c>
      <c r="E57" s="205">
        <f t="shared" si="3"/>
        <v>361500000</v>
      </c>
      <c r="F57" s="205"/>
    </row>
    <row r="58" spans="1:6">
      <c r="A58" s="205" t="s">
        <v>5344</v>
      </c>
      <c r="B58" s="18">
        <v>1000000</v>
      </c>
      <c r="C58" s="205">
        <v>5</v>
      </c>
      <c r="D58" s="205">
        <f t="shared" si="2"/>
        <v>722</v>
      </c>
      <c r="E58" s="205">
        <f t="shared" si="3"/>
        <v>722000000</v>
      </c>
      <c r="F58" s="205"/>
    </row>
    <row r="59" spans="1:6">
      <c r="A59" s="205" t="s">
        <v>5349</v>
      </c>
      <c r="B59" s="18">
        <v>-2700000</v>
      </c>
      <c r="C59" s="205">
        <v>1</v>
      </c>
      <c r="D59" s="205">
        <f t="shared" si="2"/>
        <v>717</v>
      </c>
      <c r="E59" s="205">
        <f t="shared" si="3"/>
        <v>-1935900000</v>
      </c>
      <c r="F59" s="205"/>
    </row>
    <row r="60" spans="1:6">
      <c r="A60" s="205" t="s">
        <v>5350</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5370</v>
      </c>
      <c r="B62" s="18">
        <v>1000000</v>
      </c>
      <c r="C62" s="205">
        <v>20</v>
      </c>
      <c r="D62" s="205">
        <f t="shared" si="2"/>
        <v>698</v>
      </c>
      <c r="E62" s="205">
        <f t="shared" si="3"/>
        <v>698000000</v>
      </c>
      <c r="F62" s="205"/>
    </row>
    <row r="63" spans="1:6">
      <c r="A63" s="205" t="s">
        <v>5389</v>
      </c>
      <c r="B63" s="18">
        <v>-1000000</v>
      </c>
      <c r="C63" s="205">
        <v>25</v>
      </c>
      <c r="D63" s="205">
        <f t="shared" si="2"/>
        <v>678</v>
      </c>
      <c r="E63" s="205">
        <f t="shared" si="3"/>
        <v>-678000000</v>
      </c>
      <c r="F63" s="205"/>
    </row>
    <row r="64" spans="1:6">
      <c r="A64" s="205" t="s">
        <v>5418</v>
      </c>
      <c r="B64" s="18">
        <v>300000</v>
      </c>
      <c r="C64" s="205">
        <v>3</v>
      </c>
      <c r="D64" s="205">
        <f t="shared" si="2"/>
        <v>653</v>
      </c>
      <c r="E64" s="205">
        <f t="shared" si="3"/>
        <v>195900000</v>
      </c>
      <c r="F64" s="205"/>
    </row>
    <row r="65" spans="1:6">
      <c r="A65" s="205" t="s">
        <v>5423</v>
      </c>
      <c r="B65" s="18">
        <v>-300000</v>
      </c>
      <c r="C65" s="205">
        <v>9</v>
      </c>
      <c r="D65" s="205">
        <f t="shared" si="2"/>
        <v>650</v>
      </c>
      <c r="E65" s="205">
        <f t="shared" si="3"/>
        <v>-195000000</v>
      </c>
      <c r="F65" s="205"/>
    </row>
    <row r="66" spans="1:6">
      <c r="A66" s="205" t="s">
        <v>5438</v>
      </c>
      <c r="B66" s="18">
        <v>1000000</v>
      </c>
      <c r="C66" s="205">
        <v>24</v>
      </c>
      <c r="D66" s="205">
        <f t="shared" si="2"/>
        <v>641</v>
      </c>
      <c r="E66" s="205">
        <f t="shared" si="3"/>
        <v>641000000</v>
      </c>
      <c r="F66" s="205"/>
    </row>
    <row r="67" spans="1:6">
      <c r="A67" s="205" t="s">
        <v>5475</v>
      </c>
      <c r="B67" s="18">
        <v>-1380100</v>
      </c>
      <c r="C67" s="205">
        <v>11</v>
      </c>
      <c r="D67" s="205">
        <f t="shared" ref="D67:D98" si="4">C67+D68</f>
        <v>617</v>
      </c>
      <c r="E67" s="205">
        <f t="shared" ref="E67:E98" si="5">B67*D67</f>
        <v>-851521700</v>
      </c>
      <c r="F67" s="205"/>
    </row>
    <row r="68" spans="1:6">
      <c r="A68" s="205" t="s">
        <v>5489</v>
      </c>
      <c r="B68" s="18">
        <v>1280015</v>
      </c>
      <c r="C68" s="205">
        <v>0</v>
      </c>
      <c r="D68" s="205">
        <f t="shared" si="4"/>
        <v>606</v>
      </c>
      <c r="E68" s="205">
        <f t="shared" si="5"/>
        <v>775689090</v>
      </c>
      <c r="F68" s="205"/>
    </row>
    <row r="69" spans="1:6">
      <c r="A69" s="205" t="s">
        <v>5489</v>
      </c>
      <c r="B69" s="18">
        <v>300000</v>
      </c>
      <c r="C69" s="205">
        <v>7</v>
      </c>
      <c r="D69" s="205">
        <f t="shared" si="4"/>
        <v>606</v>
      </c>
      <c r="E69" s="205">
        <f t="shared" si="5"/>
        <v>181800000</v>
      </c>
      <c r="F69" s="205"/>
    </row>
    <row r="70" spans="1:6">
      <c r="A70" s="205" t="s">
        <v>5496</v>
      </c>
      <c r="B70" s="18">
        <v>3000000</v>
      </c>
      <c r="C70" s="205">
        <v>3</v>
      </c>
      <c r="D70" s="205">
        <f t="shared" si="4"/>
        <v>599</v>
      </c>
      <c r="E70" s="205">
        <f t="shared" si="5"/>
        <v>1797000000</v>
      </c>
      <c r="F70" s="205"/>
    </row>
    <row r="71" spans="1:6">
      <c r="A71" s="205" t="s">
        <v>5514</v>
      </c>
      <c r="B71" s="18">
        <v>300000</v>
      </c>
      <c r="C71" s="205">
        <v>8</v>
      </c>
      <c r="D71" s="205">
        <f t="shared" si="4"/>
        <v>596</v>
      </c>
      <c r="E71" s="205">
        <f t="shared" si="5"/>
        <v>178800000</v>
      </c>
      <c r="F71" s="205"/>
    </row>
    <row r="72" spans="1:6">
      <c r="A72" s="205" t="s">
        <v>5535</v>
      </c>
      <c r="B72" s="18">
        <v>-3500000</v>
      </c>
      <c r="C72" s="205">
        <v>6</v>
      </c>
      <c r="D72" s="205">
        <f t="shared" si="4"/>
        <v>588</v>
      </c>
      <c r="E72" s="205">
        <f t="shared" si="5"/>
        <v>-2058000000</v>
      </c>
      <c r="F72" s="205"/>
    </row>
    <row r="73" spans="1:6">
      <c r="A73" s="205" t="s">
        <v>5540</v>
      </c>
      <c r="B73" s="18">
        <v>-70000</v>
      </c>
      <c r="C73" s="205">
        <v>1</v>
      </c>
      <c r="D73" s="205">
        <f t="shared" si="4"/>
        <v>582</v>
      </c>
      <c r="E73" s="205">
        <f t="shared" si="5"/>
        <v>-40740000</v>
      </c>
      <c r="F73" s="205"/>
    </row>
    <row r="74" spans="1:6">
      <c r="A74" s="205" t="s">
        <v>5544</v>
      </c>
      <c r="B74" s="18">
        <v>70085</v>
      </c>
      <c r="C74" s="205">
        <v>7</v>
      </c>
      <c r="D74" s="205">
        <f t="shared" si="4"/>
        <v>581</v>
      </c>
      <c r="E74" s="205">
        <f t="shared" si="5"/>
        <v>40719385</v>
      </c>
      <c r="F74" s="205" t="s">
        <v>5545</v>
      </c>
    </row>
    <row r="75" spans="1:6">
      <c r="A75" s="205" t="s">
        <v>5551</v>
      </c>
      <c r="B75" s="18">
        <v>-1000000</v>
      </c>
      <c r="C75" s="205">
        <v>31</v>
      </c>
      <c r="D75" s="205">
        <f t="shared" si="4"/>
        <v>574</v>
      </c>
      <c r="E75" s="205">
        <f t="shared" si="5"/>
        <v>-574000000</v>
      </c>
      <c r="F75" s="205"/>
    </row>
    <row r="76" spans="1:6">
      <c r="A76" s="205" t="s">
        <v>5579</v>
      </c>
      <c r="B76" s="18">
        <v>6000000</v>
      </c>
      <c r="C76" s="205">
        <v>1</v>
      </c>
      <c r="D76" s="205">
        <f t="shared" si="4"/>
        <v>543</v>
      </c>
      <c r="E76" s="205">
        <f t="shared" si="5"/>
        <v>3258000000</v>
      </c>
      <c r="F76" s="205"/>
    </row>
    <row r="77" spans="1:6">
      <c r="A77" s="205" t="s">
        <v>5580</v>
      </c>
      <c r="B77" s="18">
        <v>6000000</v>
      </c>
      <c r="C77" s="205">
        <v>11</v>
      </c>
      <c r="D77" s="205">
        <f t="shared" si="4"/>
        <v>542</v>
      </c>
      <c r="E77" s="205">
        <f t="shared" si="5"/>
        <v>3252000000</v>
      </c>
      <c r="F77" s="205"/>
    </row>
    <row r="78" spans="1:6">
      <c r="A78" s="205" t="s">
        <v>5595</v>
      </c>
      <c r="B78" s="18">
        <v>48000000</v>
      </c>
      <c r="C78" s="205">
        <v>8</v>
      </c>
      <c r="D78" s="205">
        <f t="shared" si="4"/>
        <v>531</v>
      </c>
      <c r="E78" s="205">
        <f t="shared" si="5"/>
        <v>25488000000</v>
      </c>
      <c r="F78" s="205"/>
    </row>
    <row r="79" spans="1:6">
      <c r="A79" s="205" t="s">
        <v>5612</v>
      </c>
      <c r="B79" s="18">
        <v>-400000</v>
      </c>
      <c r="C79" s="205">
        <v>23</v>
      </c>
      <c r="D79" s="205">
        <f t="shared" si="4"/>
        <v>523</v>
      </c>
      <c r="E79" s="205">
        <f t="shared" si="5"/>
        <v>-209200000</v>
      </c>
      <c r="F79" s="205"/>
    </row>
    <row r="80" spans="1:6">
      <c r="A80" s="205" t="s">
        <v>5648</v>
      </c>
      <c r="B80" s="18">
        <v>500000</v>
      </c>
      <c r="C80" s="205">
        <v>4</v>
      </c>
      <c r="D80" s="205">
        <f t="shared" si="4"/>
        <v>500</v>
      </c>
      <c r="E80" s="205">
        <f t="shared" si="5"/>
        <v>250000000</v>
      </c>
      <c r="F80" s="205"/>
    </row>
    <row r="81" spans="1:6">
      <c r="A81" s="205" t="s">
        <v>5652</v>
      </c>
      <c r="B81" s="18">
        <v>-500000</v>
      </c>
      <c r="C81" s="205">
        <v>48</v>
      </c>
      <c r="D81" s="205">
        <f t="shared" si="4"/>
        <v>496</v>
      </c>
      <c r="E81" s="205">
        <f t="shared" si="5"/>
        <v>-248000000</v>
      </c>
      <c r="F81" s="205"/>
    </row>
    <row r="82" spans="1:6">
      <c r="A82" s="205" t="s">
        <v>5707</v>
      </c>
      <c r="B82" s="18">
        <v>2000000</v>
      </c>
      <c r="C82" s="205">
        <v>11</v>
      </c>
      <c r="D82" s="205">
        <f t="shared" si="4"/>
        <v>448</v>
      </c>
      <c r="E82" s="205">
        <f t="shared" si="5"/>
        <v>896000000</v>
      </c>
      <c r="F82" s="205"/>
    </row>
    <row r="83" spans="1:6">
      <c r="A83" s="205" t="s">
        <v>5717</v>
      </c>
      <c r="B83" s="18">
        <v>-2000000</v>
      </c>
      <c r="C83" s="205">
        <v>1</v>
      </c>
      <c r="D83" s="205">
        <f t="shared" si="4"/>
        <v>437</v>
      </c>
      <c r="E83" s="205">
        <f t="shared" si="5"/>
        <v>-874000000</v>
      </c>
      <c r="F83" s="205"/>
    </row>
    <row r="84" spans="1:6">
      <c r="A84" s="205" t="s">
        <v>5718</v>
      </c>
      <c r="B84" s="18">
        <v>-42203</v>
      </c>
      <c r="C84" s="205">
        <v>2</v>
      </c>
      <c r="D84" s="205">
        <f t="shared" si="4"/>
        <v>436</v>
      </c>
      <c r="E84" s="205">
        <f t="shared" si="5"/>
        <v>-18400508</v>
      </c>
      <c r="F84" s="205" t="s">
        <v>5722</v>
      </c>
    </row>
    <row r="85" spans="1:6">
      <c r="A85" s="205" t="s">
        <v>5724</v>
      </c>
      <c r="B85" s="18">
        <v>-365000</v>
      </c>
      <c r="C85" s="205">
        <v>5</v>
      </c>
      <c r="D85" s="205">
        <f t="shared" si="4"/>
        <v>434</v>
      </c>
      <c r="E85" s="205">
        <f t="shared" si="5"/>
        <v>-158410000</v>
      </c>
      <c r="F85" s="205" t="s">
        <v>5725</v>
      </c>
    </row>
    <row r="86" spans="1:6">
      <c r="A86" s="205" t="s">
        <v>5730</v>
      </c>
      <c r="B86" s="18">
        <v>12000000</v>
      </c>
      <c r="C86" s="205">
        <v>9</v>
      </c>
      <c r="D86" s="205">
        <f t="shared" si="4"/>
        <v>429</v>
      </c>
      <c r="E86" s="205">
        <f t="shared" si="5"/>
        <v>5148000000</v>
      </c>
      <c r="F86" s="205" t="s">
        <v>5731</v>
      </c>
    </row>
    <row r="87" spans="1:6">
      <c r="A87" s="205" t="s">
        <v>5740</v>
      </c>
      <c r="B87" s="18">
        <v>-4000000</v>
      </c>
      <c r="C87" s="205">
        <v>1</v>
      </c>
      <c r="D87" s="205">
        <f t="shared" si="4"/>
        <v>420</v>
      </c>
      <c r="E87" s="205">
        <f t="shared" si="5"/>
        <v>-1680000000</v>
      </c>
      <c r="F87" s="205"/>
    </row>
    <row r="88" spans="1:6">
      <c r="A88" s="205" t="s">
        <v>5744</v>
      </c>
      <c r="B88" s="18">
        <v>-5000000</v>
      </c>
      <c r="C88" s="205">
        <v>2</v>
      </c>
      <c r="D88" s="205">
        <f t="shared" si="4"/>
        <v>419</v>
      </c>
      <c r="E88" s="205">
        <f t="shared" si="5"/>
        <v>-2095000000</v>
      </c>
      <c r="F88" s="205"/>
    </row>
    <row r="89" spans="1:6">
      <c r="A89" s="205" t="s">
        <v>5742</v>
      </c>
      <c r="B89" s="18">
        <v>-2500000</v>
      </c>
      <c r="C89" s="205">
        <v>1</v>
      </c>
      <c r="D89" s="205">
        <f t="shared" si="4"/>
        <v>417</v>
      </c>
      <c r="E89" s="205">
        <f t="shared" si="5"/>
        <v>-1042500000</v>
      </c>
      <c r="F89" s="205"/>
    </row>
    <row r="90" spans="1:6">
      <c r="A90" s="205" t="s">
        <v>5743</v>
      </c>
      <c r="B90" s="18">
        <v>-500000</v>
      </c>
      <c r="C90" s="205">
        <v>17</v>
      </c>
      <c r="D90" s="205">
        <f t="shared" si="4"/>
        <v>416</v>
      </c>
      <c r="E90" s="205">
        <f t="shared" si="5"/>
        <v>-208000000</v>
      </c>
      <c r="F90" s="205"/>
    </row>
    <row r="91" spans="1:6">
      <c r="A91" s="205" t="s">
        <v>5745</v>
      </c>
      <c r="B91" s="18">
        <v>-192797</v>
      </c>
      <c r="C91" s="205">
        <v>15</v>
      </c>
      <c r="D91" s="205">
        <f t="shared" si="4"/>
        <v>399</v>
      </c>
      <c r="E91" s="205">
        <f t="shared" si="5"/>
        <v>-76926003</v>
      </c>
      <c r="F91" s="205"/>
    </row>
    <row r="92" spans="1:6">
      <c r="A92" s="205" t="s">
        <v>5750</v>
      </c>
      <c r="B92" s="18">
        <v>2000000</v>
      </c>
      <c r="C92" s="205">
        <v>12</v>
      </c>
      <c r="D92" s="205">
        <f t="shared" si="4"/>
        <v>384</v>
      </c>
      <c r="E92" s="205">
        <f t="shared" si="5"/>
        <v>768000000</v>
      </c>
      <c r="F92" s="205"/>
    </row>
    <row r="93" spans="1:6">
      <c r="A93" s="205" t="s">
        <v>5757</v>
      </c>
      <c r="B93" s="18">
        <v>-2000000</v>
      </c>
      <c r="C93" s="205">
        <v>0</v>
      </c>
      <c r="D93" s="205">
        <f t="shared" si="4"/>
        <v>372</v>
      </c>
      <c r="E93" s="205">
        <f t="shared" si="5"/>
        <v>-744000000</v>
      </c>
      <c r="F93" s="205"/>
    </row>
    <row r="94" spans="1:6">
      <c r="A94" s="205" t="s">
        <v>5757</v>
      </c>
      <c r="B94" s="18">
        <v>-4000000</v>
      </c>
      <c r="C94" s="205">
        <v>1</v>
      </c>
      <c r="D94" s="205">
        <f t="shared" si="4"/>
        <v>372</v>
      </c>
      <c r="E94" s="205">
        <f t="shared" si="5"/>
        <v>-1488000000</v>
      </c>
      <c r="F94" s="205"/>
    </row>
    <row r="95" spans="1:6">
      <c r="A95" s="205" t="s">
        <v>5758</v>
      </c>
      <c r="B95" s="18">
        <v>-3000000</v>
      </c>
      <c r="C95" s="205">
        <v>3</v>
      </c>
      <c r="D95" s="205">
        <f t="shared" si="4"/>
        <v>371</v>
      </c>
      <c r="E95" s="205">
        <f t="shared" si="5"/>
        <v>-1113000000</v>
      </c>
      <c r="F95" s="205"/>
    </row>
    <row r="96" spans="1:6">
      <c r="A96" s="205" t="s">
        <v>5765</v>
      </c>
      <c r="B96" s="18">
        <v>-6000000</v>
      </c>
      <c r="C96" s="205">
        <v>1</v>
      </c>
      <c r="D96" s="205">
        <f t="shared" si="4"/>
        <v>368</v>
      </c>
      <c r="E96" s="205">
        <f t="shared" si="5"/>
        <v>-2208000000</v>
      </c>
      <c r="F96" s="205"/>
    </row>
    <row r="97" spans="1:6">
      <c r="A97" s="205" t="s">
        <v>5768</v>
      </c>
      <c r="B97" s="18">
        <v>-10000000</v>
      </c>
      <c r="C97" s="205">
        <v>0</v>
      </c>
      <c r="D97" s="205">
        <f t="shared" si="4"/>
        <v>367</v>
      </c>
      <c r="E97" s="205">
        <f t="shared" si="5"/>
        <v>-3670000000</v>
      </c>
      <c r="F97" s="205"/>
    </row>
    <row r="98" spans="1:6">
      <c r="A98" s="205" t="s">
        <v>5768</v>
      </c>
      <c r="B98" s="18">
        <v>-5500000</v>
      </c>
      <c r="C98" s="205">
        <v>1</v>
      </c>
      <c r="D98" s="205">
        <f t="shared" si="4"/>
        <v>367</v>
      </c>
      <c r="E98" s="205">
        <f t="shared" si="5"/>
        <v>-2018500000</v>
      </c>
      <c r="F98" s="205"/>
    </row>
    <row r="99" spans="1:6">
      <c r="A99" s="205" t="s">
        <v>5769</v>
      </c>
      <c r="B99" s="18">
        <v>-1500000</v>
      </c>
      <c r="C99" s="205">
        <v>9</v>
      </c>
      <c r="D99" s="205">
        <f t="shared" ref="D99:D130" si="6">C99+D100</f>
        <v>366</v>
      </c>
      <c r="E99" s="205">
        <f t="shared" ref="E99:E130" si="7">B99*D99</f>
        <v>-549000000</v>
      </c>
      <c r="F99" s="205"/>
    </row>
    <row r="100" spans="1:6">
      <c r="A100" s="205" t="s">
        <v>5796</v>
      </c>
      <c r="B100" s="18">
        <v>-22545000</v>
      </c>
      <c r="C100" s="205">
        <v>18</v>
      </c>
      <c r="D100" s="205">
        <f t="shared" si="6"/>
        <v>357</v>
      </c>
      <c r="E100" s="205">
        <f t="shared" si="7"/>
        <v>-8048565000</v>
      </c>
      <c r="F100" s="205" t="s">
        <v>5800</v>
      </c>
    </row>
    <row r="101" spans="1:6">
      <c r="A101" s="205" t="s">
        <v>5807</v>
      </c>
      <c r="B101" s="18">
        <v>5000000</v>
      </c>
      <c r="C101" s="205">
        <v>9</v>
      </c>
      <c r="D101" s="205">
        <f t="shared" si="6"/>
        <v>339</v>
      </c>
      <c r="E101" s="205">
        <f t="shared" si="7"/>
        <v>1695000000</v>
      </c>
      <c r="F101" s="205"/>
    </row>
    <row r="102" spans="1:6">
      <c r="A102" s="205" t="s">
        <v>5811</v>
      </c>
      <c r="B102" s="18">
        <v>3000000</v>
      </c>
      <c r="C102" s="205">
        <v>0</v>
      </c>
      <c r="D102" s="205">
        <f t="shared" si="6"/>
        <v>330</v>
      </c>
      <c r="E102" s="205">
        <f t="shared" si="7"/>
        <v>990000000</v>
      </c>
      <c r="F102" s="205"/>
    </row>
    <row r="103" spans="1:6">
      <c r="A103" s="205" t="s">
        <v>5811</v>
      </c>
      <c r="B103" s="18">
        <v>-3000000</v>
      </c>
      <c r="C103" s="205">
        <v>1</v>
      </c>
      <c r="D103" s="205">
        <f t="shared" si="6"/>
        <v>330</v>
      </c>
      <c r="E103" s="205">
        <f t="shared" si="7"/>
        <v>-990000000</v>
      </c>
      <c r="F103" s="205"/>
    </row>
    <row r="104" spans="1:6">
      <c r="A104" s="205" t="s">
        <v>5812</v>
      </c>
      <c r="B104" s="18">
        <v>-11455000</v>
      </c>
      <c r="C104" s="205">
        <v>14</v>
      </c>
      <c r="D104" s="205">
        <f t="shared" si="6"/>
        <v>329</v>
      </c>
      <c r="E104" s="205">
        <f t="shared" si="7"/>
        <v>-3768695000</v>
      </c>
      <c r="F104" s="205"/>
    </row>
    <row r="105" spans="1:6">
      <c r="A105" s="205" t="s">
        <v>6191</v>
      </c>
      <c r="B105" s="18">
        <v>2317100</v>
      </c>
      <c r="C105" s="205">
        <v>3</v>
      </c>
      <c r="D105" s="205">
        <f t="shared" si="6"/>
        <v>315</v>
      </c>
      <c r="E105" s="205">
        <f t="shared" si="7"/>
        <v>729886500</v>
      </c>
      <c r="F105" s="205"/>
    </row>
    <row r="106" spans="1:6">
      <c r="A106" s="205" t="s">
        <v>6192</v>
      </c>
      <c r="B106" s="18">
        <v>699000</v>
      </c>
      <c r="C106" s="205">
        <v>3</v>
      </c>
      <c r="D106" s="205">
        <f t="shared" si="6"/>
        <v>312</v>
      </c>
      <c r="E106" s="205">
        <f t="shared" si="7"/>
        <v>218088000</v>
      </c>
      <c r="F106" s="205"/>
    </row>
    <row r="107" spans="1:6">
      <c r="A107" s="205" t="s">
        <v>6194</v>
      </c>
      <c r="B107" s="18">
        <v>-1016100</v>
      </c>
      <c r="C107" s="205">
        <v>5</v>
      </c>
      <c r="D107" s="205">
        <f t="shared" si="6"/>
        <v>309</v>
      </c>
      <c r="E107" s="205">
        <f t="shared" si="7"/>
        <v>-313974900</v>
      </c>
      <c r="F107" s="205"/>
    </row>
    <row r="108" spans="1:6">
      <c r="A108" s="205" t="s">
        <v>6201</v>
      </c>
      <c r="B108" s="18">
        <v>-680000</v>
      </c>
      <c r="C108" s="205">
        <v>3</v>
      </c>
      <c r="D108" s="205">
        <f t="shared" si="6"/>
        <v>304</v>
      </c>
      <c r="E108" s="205">
        <f t="shared" si="7"/>
        <v>-206720000</v>
      </c>
      <c r="F108" s="205"/>
    </row>
    <row r="109" spans="1:6">
      <c r="A109" s="205" t="s">
        <v>6202</v>
      </c>
      <c r="B109" s="18">
        <v>-216000</v>
      </c>
      <c r="C109" s="205">
        <v>3</v>
      </c>
      <c r="D109" s="205">
        <f t="shared" si="6"/>
        <v>301</v>
      </c>
      <c r="E109" s="205">
        <f t="shared" si="7"/>
        <v>-65016000</v>
      </c>
      <c r="F109" s="205"/>
    </row>
    <row r="110" spans="1:6">
      <c r="A110" s="205" t="s">
        <v>6203</v>
      </c>
      <c r="B110" s="18">
        <v>-619000</v>
      </c>
      <c r="C110" s="205">
        <v>3</v>
      </c>
      <c r="D110" s="205">
        <f t="shared" si="6"/>
        <v>298</v>
      </c>
      <c r="E110" s="205">
        <f t="shared" si="7"/>
        <v>-184462000</v>
      </c>
      <c r="F110" s="205"/>
    </row>
    <row r="111" spans="1:6" ht="30">
      <c r="A111" s="189" t="s">
        <v>6205</v>
      </c>
      <c r="B111" s="237">
        <v>-485000</v>
      </c>
      <c r="C111" s="189">
        <v>11</v>
      </c>
      <c r="D111" s="205">
        <f t="shared" si="6"/>
        <v>295</v>
      </c>
      <c r="E111" s="205">
        <f t="shared" si="7"/>
        <v>-143075000</v>
      </c>
      <c r="F111" s="219" t="s">
        <v>6407</v>
      </c>
    </row>
    <row r="112" spans="1:6">
      <c r="A112" s="205" t="s">
        <v>6213</v>
      </c>
      <c r="B112" s="18">
        <v>3000000</v>
      </c>
      <c r="C112" s="205">
        <v>1</v>
      </c>
      <c r="D112" s="205">
        <f t="shared" si="6"/>
        <v>284</v>
      </c>
      <c r="E112" s="18">
        <f t="shared" si="7"/>
        <v>852000000</v>
      </c>
      <c r="F112" s="205"/>
    </row>
    <row r="113" spans="1:6">
      <c r="A113" s="205" t="s">
        <v>6214</v>
      </c>
      <c r="B113" s="18">
        <v>255000</v>
      </c>
      <c r="C113" s="205">
        <v>1</v>
      </c>
      <c r="D113" s="205">
        <f t="shared" si="6"/>
        <v>283</v>
      </c>
      <c r="E113" s="18">
        <f t="shared" si="7"/>
        <v>72165000</v>
      </c>
      <c r="F113" s="205" t="s">
        <v>6215</v>
      </c>
    </row>
    <row r="114" spans="1:6">
      <c r="A114" s="205" t="s">
        <v>6216</v>
      </c>
      <c r="B114" s="18">
        <v>-3255000</v>
      </c>
      <c r="C114" s="205">
        <v>9</v>
      </c>
      <c r="D114" s="205">
        <f t="shared" si="6"/>
        <v>282</v>
      </c>
      <c r="E114" s="18">
        <f t="shared" si="7"/>
        <v>-917910000</v>
      </c>
      <c r="F114" s="205"/>
    </row>
    <row r="115" spans="1:6">
      <c r="A115" s="205" t="s">
        <v>6230</v>
      </c>
      <c r="B115" s="18">
        <v>60000000</v>
      </c>
      <c r="C115" s="205">
        <v>19</v>
      </c>
      <c r="D115" s="205">
        <f t="shared" si="6"/>
        <v>273</v>
      </c>
      <c r="E115" s="18">
        <f t="shared" si="7"/>
        <v>16380000000</v>
      </c>
      <c r="F115" s="205"/>
    </row>
    <row r="116" spans="1:6">
      <c r="A116" s="205" t="s">
        <v>6235</v>
      </c>
      <c r="B116" s="18">
        <v>473628</v>
      </c>
      <c r="C116" s="205">
        <v>2</v>
      </c>
      <c r="D116" s="205">
        <f t="shared" si="6"/>
        <v>254</v>
      </c>
      <c r="E116" s="18">
        <f t="shared" si="7"/>
        <v>120301512</v>
      </c>
      <c r="F116" s="205" t="s">
        <v>6236</v>
      </c>
    </row>
    <row r="117" spans="1:6">
      <c r="A117" s="205" t="s">
        <v>6237</v>
      </c>
      <c r="B117" s="18">
        <v>-473628</v>
      </c>
      <c r="C117" s="205">
        <v>1</v>
      </c>
      <c r="D117" s="205">
        <f t="shared" si="6"/>
        <v>252</v>
      </c>
      <c r="E117" s="18">
        <f t="shared" si="7"/>
        <v>-119354256</v>
      </c>
      <c r="F117" s="205"/>
    </row>
    <row r="118" spans="1:6">
      <c r="A118" s="205" t="s">
        <v>6239</v>
      </c>
      <c r="B118" s="18">
        <v>-6000000</v>
      </c>
      <c r="C118" s="205">
        <v>3</v>
      </c>
      <c r="D118" s="205">
        <f t="shared" si="6"/>
        <v>251</v>
      </c>
      <c r="E118" s="18">
        <f t="shared" si="7"/>
        <v>-1506000000</v>
      </c>
      <c r="F118" s="205"/>
    </row>
    <row r="119" spans="1:6">
      <c r="A119" s="205" t="s">
        <v>6241</v>
      </c>
      <c r="B119" s="18">
        <v>-475000</v>
      </c>
      <c r="C119" s="205">
        <v>1</v>
      </c>
      <c r="D119" s="205">
        <f t="shared" si="6"/>
        <v>248</v>
      </c>
      <c r="E119" s="18">
        <f t="shared" si="7"/>
        <v>-117800000</v>
      </c>
      <c r="F119" s="205" t="s">
        <v>6242</v>
      </c>
    </row>
    <row r="120" spans="1:6">
      <c r="A120" s="205" t="s">
        <v>6243</v>
      </c>
      <c r="B120" s="18">
        <v>-837000</v>
      </c>
      <c r="C120" s="205">
        <v>1</v>
      </c>
      <c r="D120" s="205">
        <f t="shared" si="6"/>
        <v>247</v>
      </c>
      <c r="E120" s="18">
        <f t="shared" si="7"/>
        <v>-206739000</v>
      </c>
      <c r="F120" s="205" t="s">
        <v>6242</v>
      </c>
    </row>
    <row r="121" spans="1:6">
      <c r="A121" s="205" t="s">
        <v>6244</v>
      </c>
      <c r="B121" s="18">
        <v>-493000</v>
      </c>
      <c r="C121" s="205">
        <v>1</v>
      </c>
      <c r="D121" s="205">
        <f t="shared" si="6"/>
        <v>246</v>
      </c>
      <c r="E121" s="18">
        <f t="shared" si="7"/>
        <v>-121278000</v>
      </c>
      <c r="F121" s="205" t="s">
        <v>6242</v>
      </c>
    </row>
    <row r="122" spans="1:6">
      <c r="A122" s="422" t="s">
        <v>6245</v>
      </c>
      <c r="B122" s="18">
        <v>54000</v>
      </c>
      <c r="C122" s="205">
        <v>3</v>
      </c>
      <c r="D122" s="205">
        <f t="shared" si="6"/>
        <v>245</v>
      </c>
      <c r="E122" s="18">
        <f t="shared" si="7"/>
        <v>13230000</v>
      </c>
      <c r="F122" s="205" t="s">
        <v>6246</v>
      </c>
    </row>
    <row r="123" spans="1:6">
      <c r="A123" s="205" t="s">
        <v>6248</v>
      </c>
      <c r="B123" s="18">
        <v>-400000</v>
      </c>
      <c r="C123" s="205">
        <v>2</v>
      </c>
      <c r="D123" s="205">
        <f t="shared" si="6"/>
        <v>242</v>
      </c>
      <c r="E123" s="18">
        <f t="shared" si="7"/>
        <v>-96800000</v>
      </c>
      <c r="F123" s="205" t="s">
        <v>6250</v>
      </c>
    </row>
    <row r="124" spans="1:6">
      <c r="A124" s="205" t="s">
        <v>6252</v>
      </c>
      <c r="B124" s="18">
        <v>-938000</v>
      </c>
      <c r="C124" s="205">
        <v>9</v>
      </c>
      <c r="D124" s="205">
        <f t="shared" si="6"/>
        <v>240</v>
      </c>
      <c r="E124" s="18">
        <f t="shared" si="7"/>
        <v>-225120000</v>
      </c>
      <c r="F124" s="205" t="s">
        <v>6242</v>
      </c>
    </row>
    <row r="125" spans="1:6">
      <c r="A125" s="205" t="s">
        <v>6359</v>
      </c>
      <c r="B125" s="18">
        <v>-7911000</v>
      </c>
      <c r="C125" s="205">
        <v>12</v>
      </c>
      <c r="D125" s="205">
        <f t="shared" si="6"/>
        <v>231</v>
      </c>
      <c r="E125" s="18">
        <f t="shared" si="7"/>
        <v>-1827441000</v>
      </c>
      <c r="F125" s="205" t="s">
        <v>6360</v>
      </c>
    </row>
    <row r="126" spans="1:6">
      <c r="A126" s="205" t="s">
        <v>6370</v>
      </c>
      <c r="B126" s="18">
        <v>1000000</v>
      </c>
      <c r="C126" s="205">
        <v>1</v>
      </c>
      <c r="D126" s="205">
        <f t="shared" si="6"/>
        <v>219</v>
      </c>
      <c r="E126" s="18">
        <f t="shared" si="7"/>
        <v>219000000</v>
      </c>
      <c r="F126" s="205" t="s">
        <v>6376</v>
      </c>
    </row>
    <row r="127" spans="1:6">
      <c r="A127" s="205" t="s">
        <v>6371</v>
      </c>
      <c r="B127" s="18">
        <v>-1000000</v>
      </c>
      <c r="C127" s="205">
        <v>19</v>
      </c>
      <c r="D127" s="205">
        <f t="shared" si="6"/>
        <v>218</v>
      </c>
      <c r="E127" s="18">
        <f t="shared" si="7"/>
        <v>-218000000</v>
      </c>
      <c r="F127" s="205" t="s">
        <v>6360</v>
      </c>
    </row>
    <row r="128" spans="1:6">
      <c r="A128" s="205" t="s">
        <v>6392</v>
      </c>
      <c r="B128" s="18">
        <v>400000</v>
      </c>
      <c r="C128" s="205">
        <v>0</v>
      </c>
      <c r="D128" s="205">
        <f t="shared" si="6"/>
        <v>199</v>
      </c>
      <c r="E128" s="18">
        <f t="shared" si="7"/>
        <v>79600000</v>
      </c>
      <c r="F128" s="205"/>
    </row>
    <row r="129" spans="1:6">
      <c r="A129" s="205" t="s">
        <v>6392</v>
      </c>
      <c r="B129" s="18">
        <v>-400000</v>
      </c>
      <c r="C129" s="205">
        <v>11</v>
      </c>
      <c r="D129" s="205">
        <f t="shared" si="6"/>
        <v>199</v>
      </c>
      <c r="E129" s="18">
        <f t="shared" si="7"/>
        <v>-79600000</v>
      </c>
      <c r="F129" s="205"/>
    </row>
    <row r="130" spans="1:6">
      <c r="A130" s="205" t="s">
        <v>6401</v>
      </c>
      <c r="B130" s="18">
        <v>600000</v>
      </c>
      <c r="C130" s="205">
        <v>5</v>
      </c>
      <c r="D130" s="205">
        <f t="shared" si="6"/>
        <v>188</v>
      </c>
      <c r="E130" s="18">
        <f t="shared" si="7"/>
        <v>112800000</v>
      </c>
      <c r="F130" s="205"/>
    </row>
    <row r="131" spans="1:6">
      <c r="A131" s="205" t="s">
        <v>6406</v>
      </c>
      <c r="B131" s="18">
        <v>-600000</v>
      </c>
      <c r="C131" s="205">
        <v>30</v>
      </c>
      <c r="D131" s="205">
        <f t="shared" ref="D131:D143" si="8">C131+D132</f>
        <v>183</v>
      </c>
      <c r="E131" s="18">
        <f t="shared" ref="E131:E143" si="9">B131*D131</f>
        <v>-109800000</v>
      </c>
      <c r="F131" s="205"/>
    </row>
    <row r="132" spans="1:6">
      <c r="A132" s="205" t="s">
        <v>6722</v>
      </c>
      <c r="B132" s="18">
        <v>650000</v>
      </c>
      <c r="C132" s="205">
        <v>4</v>
      </c>
      <c r="D132" s="205">
        <f t="shared" si="8"/>
        <v>153</v>
      </c>
      <c r="E132" s="18">
        <f t="shared" si="9"/>
        <v>99450000</v>
      </c>
      <c r="F132" s="205"/>
    </row>
    <row r="133" spans="1:6">
      <c r="A133" s="205" t="s">
        <v>6725</v>
      </c>
      <c r="B133" s="18">
        <v>-650000</v>
      </c>
      <c r="C133" s="205">
        <v>15</v>
      </c>
      <c r="D133" s="205">
        <f t="shared" si="8"/>
        <v>149</v>
      </c>
      <c r="E133" s="18">
        <f t="shared" si="9"/>
        <v>-96850000</v>
      </c>
      <c r="F133" s="205"/>
    </row>
    <row r="134" spans="1:6">
      <c r="A134" s="205" t="s">
        <v>6731</v>
      </c>
      <c r="B134" s="18">
        <v>700000</v>
      </c>
      <c r="C134" s="205">
        <v>6</v>
      </c>
      <c r="D134" s="205">
        <f t="shared" si="8"/>
        <v>134</v>
      </c>
      <c r="E134" s="18">
        <f t="shared" si="9"/>
        <v>93800000</v>
      </c>
      <c r="F134" s="205"/>
    </row>
    <row r="135" spans="1:6">
      <c r="A135" s="205" t="s">
        <v>6733</v>
      </c>
      <c r="B135" s="18">
        <v>-700000</v>
      </c>
      <c r="C135" s="205">
        <v>22</v>
      </c>
      <c r="D135" s="205">
        <f t="shared" si="8"/>
        <v>128</v>
      </c>
      <c r="E135" s="18">
        <f t="shared" si="9"/>
        <v>-89600000</v>
      </c>
      <c r="F135" s="205"/>
    </row>
    <row r="136" spans="1:6">
      <c r="A136" s="205" t="s">
        <v>6806</v>
      </c>
      <c r="B136" s="18">
        <v>1000000</v>
      </c>
      <c r="C136" s="205">
        <v>7</v>
      </c>
      <c r="D136" s="205">
        <f t="shared" si="8"/>
        <v>106</v>
      </c>
      <c r="E136" s="18">
        <f t="shared" si="9"/>
        <v>106000000</v>
      </c>
      <c r="F136" s="205"/>
    </row>
    <row r="137" spans="1:6">
      <c r="A137" s="205" t="s">
        <v>6821</v>
      </c>
      <c r="B137" s="18">
        <v>-1000000</v>
      </c>
      <c r="C137" s="205">
        <v>33</v>
      </c>
      <c r="D137" s="205">
        <f t="shared" si="8"/>
        <v>99</v>
      </c>
      <c r="E137" s="18">
        <f t="shared" si="9"/>
        <v>-99000000</v>
      </c>
      <c r="F137" s="205"/>
    </row>
    <row r="138" spans="1:6">
      <c r="A138" s="205" t="s">
        <v>6851</v>
      </c>
      <c r="B138" s="18">
        <v>2000000</v>
      </c>
      <c r="C138" s="205">
        <v>21</v>
      </c>
      <c r="D138" s="205">
        <f t="shared" si="8"/>
        <v>66</v>
      </c>
      <c r="E138" s="18">
        <f t="shared" si="9"/>
        <v>132000000</v>
      </c>
      <c r="F138" s="205"/>
    </row>
    <row r="139" spans="1:6">
      <c r="A139" s="205" t="s">
        <v>6856</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6859</v>
      </c>
    </row>
    <row r="145" spans="2:2">
      <c r="B145" s="310" t="s">
        <v>4894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4753</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4755</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4752</v>
      </c>
      <c r="B4" s="18">
        <v>-960200</v>
      </c>
      <c r="C4" s="18">
        <v>0</v>
      </c>
      <c r="D4" s="111">
        <f t="shared" si="0"/>
        <v>-960200</v>
      </c>
      <c r="E4" s="97" t="s">
        <v>4756</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4700</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4721</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4726</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4729</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4729</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4729</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4731</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4731</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4732</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4732</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4737</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4746</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4746</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4746</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4757</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4754</v>
      </c>
      <c r="F42" s="94"/>
      <c r="G42" s="94"/>
      <c r="H42" s="94"/>
      <c r="I42" s="94"/>
      <c r="J42" s="94"/>
      <c r="K42" s="94"/>
      <c r="L42" s="94"/>
      <c r="M42" s="94"/>
      <c r="N42" s="94"/>
      <c r="O42" s="94"/>
      <c r="P42" s="94"/>
      <c r="Q42" s="94"/>
      <c r="R42" s="94"/>
      <c r="S42" s="94"/>
      <c r="T42" s="94"/>
      <c r="U42" s="94"/>
    </row>
    <row r="43" spans="1:21">
      <c r="A43" s="94"/>
      <c r="B43" s="94"/>
      <c r="C43" s="94"/>
      <c r="D43" s="18">
        <v>252830</v>
      </c>
      <c r="E43" s="120" t="s">
        <v>4759</v>
      </c>
      <c r="F43" s="94"/>
      <c r="G43" s="94"/>
      <c r="H43" s="94"/>
      <c r="I43" s="94"/>
      <c r="J43" s="94"/>
      <c r="K43" s="94"/>
      <c r="L43" s="94"/>
      <c r="M43" s="94"/>
      <c r="N43" s="94"/>
      <c r="O43" s="94"/>
      <c r="P43" s="94"/>
      <c r="Q43" s="94"/>
      <c r="R43" s="94"/>
      <c r="S43" s="94"/>
      <c r="T43" s="94"/>
      <c r="U43" s="94"/>
    </row>
    <row r="44" spans="1:21">
      <c r="A44" s="94"/>
      <c r="B44" s="94"/>
      <c r="C44" s="94"/>
      <c r="D44" s="18">
        <v>178820</v>
      </c>
      <c r="E44" s="120" t="s">
        <v>4763</v>
      </c>
      <c r="F44" s="94"/>
      <c r="G44" s="94"/>
      <c r="H44" s="94"/>
      <c r="I44" s="94"/>
      <c r="J44" s="94"/>
      <c r="K44" s="94"/>
      <c r="L44" s="94"/>
      <c r="M44" s="94"/>
      <c r="N44" s="94"/>
      <c r="O44" s="94"/>
      <c r="P44" s="94"/>
      <c r="Q44" s="94"/>
      <c r="R44" s="94"/>
      <c r="S44" s="94"/>
      <c r="T44" s="94"/>
      <c r="U44" s="94"/>
    </row>
    <row r="45" spans="1:21">
      <c r="A45" s="94"/>
      <c r="B45" s="94"/>
      <c r="C45" s="94"/>
      <c r="D45" s="18">
        <v>382000</v>
      </c>
      <c r="E45" s="120" t="s">
        <v>4770</v>
      </c>
      <c r="F45" s="94"/>
      <c r="G45" s="94"/>
      <c r="H45" s="94"/>
      <c r="I45" s="94"/>
      <c r="J45" s="94"/>
      <c r="K45" s="94"/>
      <c r="L45" s="94"/>
      <c r="M45" s="94"/>
      <c r="N45" s="94"/>
      <c r="O45" s="94"/>
      <c r="P45" s="94"/>
      <c r="Q45" s="94"/>
      <c r="R45" s="94"/>
      <c r="S45" s="94"/>
      <c r="T45" s="94"/>
      <c r="U45" s="94"/>
    </row>
    <row r="46" spans="1:21">
      <c r="A46" s="94"/>
      <c r="B46" s="94"/>
      <c r="C46" s="94"/>
      <c r="D46" s="18">
        <v>-200000</v>
      </c>
      <c r="E46" s="120" t="s">
        <v>4771</v>
      </c>
      <c r="F46" s="94"/>
      <c r="G46" s="94"/>
      <c r="H46" s="94"/>
      <c r="I46" s="94"/>
      <c r="J46" s="94"/>
      <c r="K46" s="94"/>
      <c r="L46" s="94"/>
      <c r="M46" s="94"/>
      <c r="N46" s="94"/>
      <c r="O46" s="94"/>
      <c r="P46" s="94"/>
      <c r="Q46" s="94"/>
      <c r="R46" s="94"/>
      <c r="S46" s="94"/>
      <c r="T46" s="94"/>
      <c r="U46" s="94"/>
    </row>
    <row r="47" spans="1:21">
      <c r="A47" s="94"/>
      <c r="B47" s="94"/>
      <c r="C47" s="94"/>
      <c r="D47" s="18">
        <v>-2336075</v>
      </c>
      <c r="E47" s="120" t="s">
        <v>4774</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4777</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4784</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4786</v>
      </c>
      <c r="F50" s="94"/>
      <c r="G50" s="94"/>
      <c r="H50" s="94"/>
      <c r="I50" s="94"/>
      <c r="J50" s="94"/>
      <c r="K50" s="94"/>
      <c r="L50" s="94"/>
      <c r="M50" s="94"/>
      <c r="N50" s="94"/>
      <c r="O50" s="94"/>
      <c r="P50" s="94"/>
      <c r="Q50" s="94"/>
      <c r="R50" s="94"/>
      <c r="S50" s="94"/>
      <c r="T50" s="94"/>
      <c r="U50" s="94"/>
    </row>
    <row r="51" spans="1:21">
      <c r="A51" s="94"/>
      <c r="B51" s="94"/>
      <c r="C51" s="94"/>
      <c r="D51" s="18">
        <v>-40000</v>
      </c>
      <c r="E51" s="120" t="s">
        <v>4787</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4798</v>
      </c>
      <c r="F52" s="94"/>
      <c r="G52" s="94"/>
      <c r="H52" s="94"/>
      <c r="I52" s="94"/>
      <c r="J52" s="94"/>
      <c r="K52" s="94"/>
      <c r="L52" s="94"/>
      <c r="M52" s="94"/>
      <c r="N52" s="94"/>
      <c r="O52" s="94"/>
      <c r="P52" s="94"/>
      <c r="Q52" s="94"/>
      <c r="R52" s="94"/>
      <c r="S52" s="94"/>
      <c r="T52" s="94"/>
      <c r="U52" s="94"/>
    </row>
    <row r="53" spans="1:21">
      <c r="A53" s="94"/>
      <c r="B53" s="94"/>
      <c r="C53" s="94"/>
      <c r="D53" s="18">
        <v>160000</v>
      </c>
      <c r="E53" s="120" t="s">
        <v>4801</v>
      </c>
      <c r="F53" s="94"/>
      <c r="G53" s="94"/>
      <c r="H53" s="94"/>
      <c r="I53" s="94"/>
      <c r="J53" s="94"/>
      <c r="K53" s="94"/>
      <c r="L53" s="94"/>
      <c r="M53" s="94"/>
      <c r="N53" s="94"/>
      <c r="O53" s="94"/>
      <c r="P53" s="94"/>
      <c r="Q53" s="94"/>
      <c r="R53" s="94"/>
      <c r="S53" s="94"/>
      <c r="T53" s="94"/>
      <c r="U53" s="94"/>
    </row>
    <row r="54" spans="1:21">
      <c r="A54" s="94"/>
      <c r="B54" s="94"/>
      <c r="C54" s="94"/>
      <c r="D54" s="18">
        <v>-224012</v>
      </c>
      <c r="E54" s="120" t="s">
        <v>4830</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4831</v>
      </c>
      <c r="F55" s="112"/>
      <c r="G55" s="41"/>
      <c r="H55" s="94"/>
      <c r="I55" s="94"/>
      <c r="J55" s="94"/>
      <c r="K55" s="94"/>
      <c r="L55" s="94"/>
      <c r="M55" s="94"/>
      <c r="N55" s="94"/>
      <c r="O55" s="94"/>
      <c r="P55" s="94"/>
      <c r="Q55" s="94"/>
      <c r="R55" s="94"/>
      <c r="S55" s="94"/>
      <c r="T55" s="94"/>
      <c r="U55" s="94"/>
    </row>
    <row r="56" spans="1:21">
      <c r="A56" s="94"/>
      <c r="B56" s="94"/>
      <c r="C56" s="94"/>
      <c r="D56" s="18">
        <v>1465000</v>
      </c>
      <c r="E56" s="120" t="s">
        <v>4838</v>
      </c>
      <c r="F56" s="112"/>
      <c r="G56" s="41"/>
      <c r="H56" s="94"/>
      <c r="I56" s="94"/>
      <c r="J56" s="94"/>
      <c r="K56" s="94"/>
      <c r="L56" s="94"/>
      <c r="M56" s="94"/>
      <c r="N56" s="94"/>
      <c r="O56" s="94"/>
      <c r="P56" s="94"/>
      <c r="Q56" s="94"/>
      <c r="R56" s="94"/>
      <c r="S56" s="94"/>
      <c r="T56" s="94"/>
      <c r="U56" s="94"/>
    </row>
    <row r="57" spans="1:21">
      <c r="A57" s="94"/>
      <c r="B57" s="94"/>
      <c r="C57" s="94"/>
      <c r="D57" s="18">
        <v>2600000</v>
      </c>
      <c r="E57" s="120" t="s">
        <v>4868</v>
      </c>
      <c r="F57" s="112"/>
      <c r="G57" s="41"/>
      <c r="H57" s="94"/>
      <c r="I57" s="94"/>
      <c r="J57" s="94"/>
      <c r="K57" s="94"/>
      <c r="L57" s="94"/>
      <c r="M57" s="94"/>
      <c r="N57" s="94"/>
      <c r="O57" s="94"/>
      <c r="P57" s="94"/>
      <c r="Q57" s="94"/>
      <c r="R57" s="94"/>
      <c r="S57" s="94"/>
      <c r="T57" s="94"/>
      <c r="U57" s="94"/>
    </row>
    <row r="58" spans="1:21">
      <c r="A58" s="94"/>
      <c r="B58" s="94"/>
      <c r="C58" s="94"/>
      <c r="D58" s="18">
        <v>-1170000</v>
      </c>
      <c r="E58" s="120" t="s">
        <v>4877</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4876</v>
      </c>
      <c r="F59" s="112"/>
      <c r="G59" s="94"/>
      <c r="H59" s="94"/>
      <c r="I59" s="94"/>
      <c r="J59" s="94"/>
      <c r="K59" s="94"/>
      <c r="L59" s="94"/>
      <c r="M59" s="94"/>
      <c r="N59" s="94"/>
      <c r="O59" s="94"/>
      <c r="P59" s="94"/>
      <c r="Q59" s="94"/>
      <c r="R59" s="94"/>
      <c r="S59" s="94"/>
      <c r="T59" s="94"/>
      <c r="U59" s="94"/>
    </row>
    <row r="60" spans="1:21">
      <c r="A60" s="94"/>
      <c r="B60" s="94"/>
      <c r="C60" s="94"/>
      <c r="D60" s="18">
        <v>360000</v>
      </c>
      <c r="E60" s="120" t="s">
        <v>4884</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4901</v>
      </c>
      <c r="F61" s="94"/>
      <c r="G61" s="94"/>
      <c r="H61" s="94"/>
      <c r="I61" s="94"/>
      <c r="J61" s="94"/>
      <c r="K61" s="94"/>
      <c r="L61" s="94"/>
      <c r="M61" s="94"/>
      <c r="N61" s="94"/>
      <c r="O61" s="94"/>
      <c r="P61" s="94"/>
      <c r="Q61" s="94"/>
      <c r="R61" s="94"/>
      <c r="S61" s="94"/>
      <c r="T61" s="94"/>
      <c r="U61" s="94"/>
    </row>
    <row r="62" spans="1:21">
      <c r="A62" s="94"/>
      <c r="B62" s="94"/>
      <c r="C62" s="94"/>
      <c r="D62" s="18">
        <v>-550000</v>
      </c>
      <c r="E62" s="234" t="s">
        <v>4904</v>
      </c>
      <c r="F62" s="94"/>
      <c r="G62" s="94"/>
      <c r="H62" s="94"/>
      <c r="I62" s="94"/>
      <c r="J62" s="94"/>
      <c r="K62" s="94"/>
      <c r="L62" s="94"/>
      <c r="M62" s="94"/>
      <c r="N62" s="94"/>
      <c r="O62" s="94"/>
      <c r="P62" s="94"/>
      <c r="Q62" s="94"/>
      <c r="R62" s="94"/>
      <c r="S62" s="94"/>
      <c r="T62" s="94"/>
      <c r="U62" s="94"/>
    </row>
    <row r="63" spans="1:21">
      <c r="A63" s="94"/>
      <c r="B63" s="94"/>
      <c r="C63" s="94"/>
      <c r="D63" s="18">
        <v>-850000</v>
      </c>
      <c r="E63" s="234" t="s">
        <v>4908</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4911</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4916</v>
      </c>
      <c r="F65" s="94"/>
      <c r="G65" s="94"/>
      <c r="H65" s="94"/>
      <c r="I65" s="94"/>
      <c r="J65" s="94"/>
      <c r="K65" s="94"/>
      <c r="L65" s="94"/>
      <c r="M65" s="94"/>
      <c r="N65" s="94"/>
      <c r="O65" s="94"/>
      <c r="P65" s="94"/>
      <c r="Q65" s="94"/>
      <c r="R65" s="94"/>
      <c r="S65" s="94"/>
      <c r="T65" s="94"/>
      <c r="U65" s="94"/>
    </row>
    <row r="66" spans="1:21">
      <c r="A66" s="94"/>
      <c r="B66" s="94"/>
      <c r="C66" s="94"/>
      <c r="D66" s="18">
        <v>-2290500</v>
      </c>
      <c r="E66" s="234" t="s">
        <v>4917</v>
      </c>
      <c r="F66" s="94"/>
      <c r="G66" s="94"/>
      <c r="H66" s="94"/>
      <c r="I66" s="94"/>
      <c r="J66" s="94"/>
      <c r="K66" s="94"/>
      <c r="L66" s="94"/>
      <c r="M66" s="94"/>
      <c r="N66" s="94"/>
      <c r="O66" s="94"/>
      <c r="P66" s="94"/>
      <c r="Q66" s="94"/>
      <c r="R66" s="94"/>
      <c r="S66" s="94"/>
      <c r="T66" s="94"/>
      <c r="U66" s="94"/>
    </row>
    <row r="67" spans="1:21">
      <c r="A67" s="94"/>
      <c r="B67" s="94"/>
      <c r="C67" s="94"/>
      <c r="D67" s="18">
        <v>1700000</v>
      </c>
      <c r="E67" s="234" t="s">
        <v>4924</v>
      </c>
      <c r="F67" s="94"/>
      <c r="G67" s="94"/>
      <c r="H67" s="94"/>
      <c r="I67" s="94"/>
      <c r="J67" s="94"/>
      <c r="K67" s="94"/>
      <c r="L67" s="94"/>
      <c r="M67" s="94"/>
      <c r="N67" s="94"/>
      <c r="O67" s="94"/>
      <c r="P67" s="94"/>
      <c r="Q67" s="94"/>
      <c r="R67" s="94"/>
      <c r="S67" s="94"/>
      <c r="T67" s="94"/>
      <c r="U67" s="94"/>
    </row>
    <row r="68" spans="1:21">
      <c r="A68" s="94"/>
      <c r="B68" s="94"/>
      <c r="C68" s="94"/>
      <c r="D68" s="18">
        <v>-150000</v>
      </c>
      <c r="E68" s="234" t="s">
        <v>4929</v>
      </c>
      <c r="F68" s="94"/>
      <c r="G68" s="94"/>
      <c r="H68" s="94"/>
      <c r="I68" s="94"/>
      <c r="J68" s="94"/>
      <c r="K68" s="94"/>
      <c r="L68" s="94"/>
      <c r="M68" s="94"/>
      <c r="N68" s="94"/>
      <c r="O68" s="94"/>
      <c r="P68" s="94"/>
      <c r="Q68" s="94"/>
      <c r="R68" s="94"/>
      <c r="S68" s="94"/>
      <c r="T68" s="94"/>
      <c r="U68" s="94"/>
    </row>
    <row r="69" spans="1:21">
      <c r="A69" s="94"/>
      <c r="B69" s="94"/>
      <c r="C69" s="94"/>
      <c r="D69" s="18">
        <v>-550000</v>
      </c>
      <c r="E69" s="234" t="s">
        <v>4932</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4950</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4964</v>
      </c>
      <c r="F71" s="94"/>
      <c r="G71" s="94"/>
      <c r="H71" s="94"/>
      <c r="I71" s="94"/>
      <c r="J71" s="94"/>
      <c r="K71" s="94"/>
      <c r="L71" s="94"/>
      <c r="M71" s="94"/>
      <c r="N71" s="94"/>
      <c r="O71" s="94"/>
      <c r="P71" s="94"/>
      <c r="Q71" s="94"/>
      <c r="R71" s="94"/>
      <c r="S71" s="94"/>
      <c r="T71" s="94"/>
      <c r="U71" s="94"/>
    </row>
    <row r="72" spans="1:21">
      <c r="A72" s="94"/>
      <c r="B72" s="94"/>
      <c r="C72" s="94"/>
      <c r="D72" s="18">
        <v>1500000</v>
      </c>
      <c r="E72" s="234" t="s">
        <v>4965</v>
      </c>
      <c r="F72" s="94"/>
      <c r="G72" s="94"/>
      <c r="H72" s="94"/>
      <c r="I72" s="94"/>
      <c r="J72" s="94"/>
      <c r="K72" s="94"/>
      <c r="L72" s="94"/>
      <c r="M72" s="94"/>
      <c r="N72" s="94"/>
      <c r="O72" s="94"/>
      <c r="P72" s="94"/>
      <c r="Q72" s="94"/>
      <c r="R72" s="94"/>
      <c r="S72" s="94"/>
      <c r="T72" s="94"/>
      <c r="U72" s="94"/>
    </row>
    <row r="73" spans="1:21">
      <c r="A73" s="94"/>
      <c r="B73" s="94"/>
      <c r="C73" s="94"/>
      <c r="D73" s="18">
        <v>-550000</v>
      </c>
      <c r="E73" s="234" t="s">
        <v>4969</v>
      </c>
      <c r="F73" s="94"/>
      <c r="G73" s="94"/>
      <c r="H73" s="94"/>
      <c r="I73" s="94"/>
      <c r="J73" s="94"/>
      <c r="K73" s="94"/>
      <c r="L73" s="94"/>
      <c r="M73" s="94"/>
      <c r="N73" s="94"/>
      <c r="O73" s="94"/>
      <c r="P73" s="94"/>
      <c r="Q73" s="94"/>
      <c r="R73" s="94"/>
      <c r="S73" s="94"/>
      <c r="T73" s="94"/>
      <c r="U73" s="94"/>
    </row>
    <row r="74" spans="1:21">
      <c r="A74" s="94"/>
      <c r="B74" s="94"/>
      <c r="C74" s="94"/>
      <c r="D74" s="18">
        <v>-50000</v>
      </c>
      <c r="E74" s="234" t="s">
        <v>4970</v>
      </c>
      <c r="F74" s="94"/>
      <c r="G74" s="94"/>
      <c r="H74" s="94"/>
      <c r="I74" s="94"/>
      <c r="J74" s="94"/>
      <c r="K74" s="94"/>
      <c r="L74" s="94"/>
      <c r="M74" s="94"/>
      <c r="N74" s="94"/>
      <c r="O74" s="94"/>
      <c r="P74" s="94"/>
      <c r="Q74" s="94"/>
      <c r="R74" s="94"/>
      <c r="S74" s="94"/>
      <c r="T74" s="94"/>
      <c r="U74" s="94"/>
    </row>
    <row r="75" spans="1:21">
      <c r="A75" s="94"/>
      <c r="B75" s="94"/>
      <c r="C75" s="94"/>
      <c r="D75" s="18">
        <v>-60000</v>
      </c>
      <c r="E75" s="234" t="s">
        <v>4971</v>
      </c>
      <c r="F75" s="94"/>
      <c r="G75" s="94"/>
      <c r="H75" s="94"/>
      <c r="I75" s="94"/>
      <c r="J75" s="94"/>
      <c r="K75" s="94"/>
      <c r="L75" s="94"/>
      <c r="M75" s="94"/>
      <c r="N75" s="94"/>
      <c r="O75" s="94"/>
      <c r="P75" s="94"/>
      <c r="Q75" s="94"/>
      <c r="R75" s="94"/>
      <c r="S75" s="94"/>
      <c r="T75" s="94"/>
      <c r="U75" s="94"/>
    </row>
    <row r="76" spans="1:21">
      <c r="A76" s="94"/>
      <c r="B76" s="94"/>
      <c r="C76" s="94"/>
      <c r="D76" s="18">
        <v>-43000</v>
      </c>
      <c r="E76" s="234" t="s">
        <v>4979</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4986</v>
      </c>
      <c r="F78" s="94"/>
      <c r="G78" s="94"/>
      <c r="H78" s="94"/>
      <c r="I78" s="94"/>
      <c r="J78" s="94"/>
      <c r="K78" s="94"/>
      <c r="L78" s="94"/>
      <c r="M78" s="94"/>
      <c r="N78" s="94"/>
      <c r="O78" s="94"/>
      <c r="P78" s="94"/>
      <c r="Q78" s="94"/>
      <c r="R78" s="94"/>
      <c r="S78" s="94"/>
      <c r="T78" s="94"/>
      <c r="U78" s="94"/>
    </row>
    <row r="79" spans="1:21">
      <c r="A79" s="94"/>
      <c r="B79" s="94"/>
      <c r="C79" s="94"/>
      <c r="D79" s="18">
        <v>-750000</v>
      </c>
      <c r="E79" s="234" t="s">
        <v>4992</v>
      </c>
      <c r="F79" s="94"/>
      <c r="G79" s="94"/>
      <c r="H79" s="94"/>
      <c r="I79" s="94"/>
      <c r="J79" s="94"/>
      <c r="K79" s="94"/>
      <c r="L79" s="94"/>
      <c r="M79" s="94"/>
      <c r="N79" s="94"/>
      <c r="O79" s="94"/>
      <c r="P79" s="94"/>
      <c r="Q79" s="94"/>
      <c r="R79" s="94"/>
      <c r="S79" s="94"/>
      <c r="T79" s="94"/>
      <c r="U79" s="94"/>
    </row>
    <row r="80" spans="1:21">
      <c r="A80" s="94"/>
      <c r="B80" s="94"/>
      <c r="C80" s="94"/>
      <c r="D80" s="18">
        <v>50000</v>
      </c>
      <c r="E80" s="234" t="s">
        <v>5004</v>
      </c>
      <c r="F80" s="94"/>
      <c r="G80" s="94"/>
      <c r="H80" s="94"/>
      <c r="I80" s="94"/>
      <c r="J80" s="94"/>
      <c r="K80" s="94"/>
      <c r="L80" s="94"/>
      <c r="M80" s="94"/>
      <c r="N80" s="94"/>
      <c r="O80" s="94"/>
      <c r="P80" s="94"/>
      <c r="Q80" s="94"/>
      <c r="R80" s="94"/>
      <c r="S80" s="94"/>
      <c r="T80" s="94"/>
      <c r="U80" s="94"/>
    </row>
    <row r="81" spans="1:21">
      <c r="A81" s="94"/>
      <c r="B81" s="94"/>
      <c r="C81" s="94"/>
      <c r="D81" s="18">
        <v>500000</v>
      </c>
      <c r="E81" s="234" t="s">
        <v>5017</v>
      </c>
      <c r="F81" s="94"/>
      <c r="G81" s="94"/>
      <c r="H81" s="94"/>
      <c r="I81" s="94"/>
      <c r="J81" s="94"/>
      <c r="K81" s="94"/>
      <c r="L81" s="94"/>
      <c r="M81" s="94"/>
      <c r="N81" s="94"/>
      <c r="O81" s="94"/>
      <c r="P81" s="94"/>
      <c r="Q81" s="94"/>
      <c r="R81" s="94"/>
      <c r="S81" s="94"/>
      <c r="T81" s="94"/>
      <c r="U81" s="94"/>
    </row>
    <row r="82" spans="1:21">
      <c r="A82" s="94"/>
      <c r="B82" s="94"/>
      <c r="C82" s="94"/>
      <c r="D82" s="18">
        <v>1500000</v>
      </c>
      <c r="E82" s="234" t="s">
        <v>5016</v>
      </c>
      <c r="F82" s="94"/>
      <c r="G82" s="94"/>
      <c r="H82" s="94"/>
      <c r="I82" s="94"/>
      <c r="J82" s="94"/>
      <c r="K82" s="94"/>
      <c r="L82" s="94"/>
      <c r="M82" s="94"/>
      <c r="N82" s="94"/>
      <c r="O82" s="94"/>
      <c r="P82" s="94"/>
      <c r="Q82" s="94"/>
      <c r="R82" s="94"/>
      <c r="S82" s="94"/>
      <c r="T82" s="94"/>
      <c r="U82" s="94"/>
    </row>
    <row r="83" spans="1:21">
      <c r="D83" s="18">
        <v>-510000</v>
      </c>
      <c r="E83" s="234" t="s">
        <v>5018</v>
      </c>
      <c r="H83" t="s">
        <v>25</v>
      </c>
    </row>
    <row r="84" spans="1:21">
      <c r="D84" s="18">
        <v>-400000</v>
      </c>
      <c r="E84" s="234" t="s">
        <v>5032</v>
      </c>
    </row>
    <row r="85" spans="1:21">
      <c r="D85" s="18">
        <v>250000</v>
      </c>
      <c r="E85" s="234" t="s">
        <v>5038</v>
      </c>
    </row>
    <row r="86" spans="1:21">
      <c r="D86" s="18">
        <v>-50000</v>
      </c>
      <c r="E86" s="234" t="s">
        <v>5039</v>
      </c>
    </row>
    <row r="87" spans="1:21">
      <c r="D87" s="18">
        <v>-300000</v>
      </c>
      <c r="E87" s="234" t="s">
        <v>5043</v>
      </c>
    </row>
    <row r="88" spans="1:21">
      <c r="D88" s="18">
        <v>-100000</v>
      </c>
      <c r="E88" s="234" t="s">
        <v>5054</v>
      </c>
      <c r="I88" t="s">
        <v>25</v>
      </c>
    </row>
    <row r="89" spans="1:21">
      <c r="D89" s="18">
        <v>-250000</v>
      </c>
      <c r="E89" s="234" t="s">
        <v>5064</v>
      </c>
    </row>
    <row r="90" spans="1:21">
      <c r="D90" s="18">
        <v>-45000</v>
      </c>
      <c r="E90" s="234" t="s">
        <v>5087</v>
      </c>
    </row>
    <row r="91" spans="1:21">
      <c r="D91" s="18">
        <v>3000000</v>
      </c>
      <c r="E91" s="234" t="s">
        <v>5088</v>
      </c>
      <c r="I91" t="s">
        <v>25</v>
      </c>
    </row>
    <row r="92" spans="1:21">
      <c r="D92" s="18">
        <v>-550000</v>
      </c>
      <c r="E92" s="234" t="s">
        <v>5089</v>
      </c>
    </row>
    <row r="93" spans="1:21">
      <c r="D93" s="18">
        <v>-200000</v>
      </c>
      <c r="E93" s="234" t="s">
        <v>5101</v>
      </c>
      <c r="G93" t="s">
        <v>25</v>
      </c>
    </row>
    <row r="94" spans="1:21">
      <c r="D94" s="18">
        <v>-30500</v>
      </c>
      <c r="E94" s="234" t="s">
        <v>5102</v>
      </c>
    </row>
    <row r="95" spans="1:21">
      <c r="D95" s="18">
        <v>2500000</v>
      </c>
      <c r="E95" s="234" t="s">
        <v>5134</v>
      </c>
      <c r="I95" t="s">
        <v>25</v>
      </c>
    </row>
    <row r="96" spans="1:21">
      <c r="D96" s="18">
        <v>-230000</v>
      </c>
      <c r="E96" s="234" t="s">
        <v>5140</v>
      </c>
    </row>
    <row r="97" spans="4:10">
      <c r="D97" s="18">
        <v>-168950</v>
      </c>
      <c r="E97" s="234" t="s">
        <v>4375</v>
      </c>
      <c r="J97" t="s">
        <v>25</v>
      </c>
    </row>
    <row r="98" spans="4:10">
      <c r="D98" s="18">
        <v>-250000</v>
      </c>
      <c r="E98" s="234" t="s">
        <v>5151</v>
      </c>
    </row>
    <row r="99" spans="4:10">
      <c r="D99" s="18">
        <v>500000</v>
      </c>
      <c r="E99" s="234" t="s">
        <v>5162</v>
      </c>
    </row>
    <row r="100" spans="4:10">
      <c r="D100" s="18">
        <v>-520000</v>
      </c>
      <c r="E100" s="234" t="s">
        <v>5161</v>
      </c>
      <c r="J100" t="s">
        <v>25</v>
      </c>
    </row>
    <row r="101" spans="4:10">
      <c r="D101" s="18">
        <v>500000</v>
      </c>
      <c r="E101" s="234" t="s">
        <v>5172</v>
      </c>
    </row>
    <row r="102" spans="4:10">
      <c r="D102" s="18">
        <v>-200000</v>
      </c>
      <c r="E102" s="234" t="s">
        <v>5176</v>
      </c>
    </row>
    <row r="103" spans="4:10">
      <c r="D103" s="18">
        <v>-300000</v>
      </c>
      <c r="E103" s="234" t="s">
        <v>5177</v>
      </c>
    </row>
    <row r="104" spans="4:10">
      <c r="D104" s="18">
        <v>-530000</v>
      </c>
      <c r="E104" s="234" t="s">
        <v>5195</v>
      </c>
    </row>
    <row r="105" spans="4:10">
      <c r="D105" s="18">
        <v>-550000</v>
      </c>
      <c r="E105" s="234" t="s">
        <v>5197</v>
      </c>
    </row>
    <row r="106" spans="4:10">
      <c r="D106" s="18">
        <v>-200000</v>
      </c>
      <c r="E106" s="234" t="s">
        <v>5219</v>
      </c>
    </row>
    <row r="107" spans="4:10">
      <c r="D107" s="18">
        <v>-1600000</v>
      </c>
      <c r="E107" s="234" t="s">
        <v>5221</v>
      </c>
      <c r="G107" t="s">
        <v>25</v>
      </c>
    </row>
    <row r="108" spans="4:10">
      <c r="D108" s="18">
        <v>1600000</v>
      </c>
      <c r="E108" s="234" t="s">
        <v>5225</v>
      </c>
    </row>
    <row r="109" spans="4:10">
      <c r="D109" s="18">
        <v>-550000</v>
      </c>
      <c r="E109" s="234" t="s">
        <v>5227</v>
      </c>
    </row>
    <row r="110" spans="4:10">
      <c r="D110" s="18">
        <v>-15000</v>
      </c>
      <c r="E110" s="234" t="s">
        <v>5232</v>
      </c>
    </row>
    <row r="111" spans="4:10">
      <c r="D111" s="18">
        <v>-325000</v>
      </c>
      <c r="E111" s="234" t="s">
        <v>5245</v>
      </c>
    </row>
    <row r="112" spans="4:10">
      <c r="D112" s="18">
        <v>-130000</v>
      </c>
      <c r="E112" s="234" t="s">
        <v>5246</v>
      </c>
    </row>
    <row r="113" spans="4:10">
      <c r="D113" s="18">
        <v>-250000</v>
      </c>
      <c r="E113" s="234" t="s">
        <v>5254</v>
      </c>
      <c r="J113" t="s">
        <v>25</v>
      </c>
    </row>
    <row r="114" spans="4:10">
      <c r="D114" s="18">
        <v>-750000</v>
      </c>
      <c r="E114" s="234" t="s">
        <v>5257</v>
      </c>
    </row>
    <row r="115" spans="4:10">
      <c r="D115" s="18">
        <v>250000</v>
      </c>
      <c r="E115" s="234" t="s">
        <v>5263</v>
      </c>
    </row>
    <row r="116" spans="4:10">
      <c r="D116" s="18">
        <v>-2100000</v>
      </c>
      <c r="E116" s="234" t="s">
        <v>5275</v>
      </c>
    </row>
    <row r="117" spans="4:10">
      <c r="D117" s="18">
        <v>-1000000</v>
      </c>
      <c r="E117" s="234" t="s">
        <v>5283</v>
      </c>
    </row>
    <row r="118" spans="4:10">
      <c r="D118" s="18">
        <v>-100000</v>
      </c>
      <c r="E118" s="234" t="s">
        <v>5284</v>
      </c>
    </row>
    <row r="119" spans="4:10">
      <c r="D119" s="18">
        <v>-550000</v>
      </c>
      <c r="E119" s="234" t="s">
        <v>5314</v>
      </c>
    </row>
    <row r="120" spans="4:10">
      <c r="D120" s="18">
        <v>-550000</v>
      </c>
      <c r="E120" s="234" t="s">
        <v>5315</v>
      </c>
    </row>
    <row r="121" spans="4:10">
      <c r="D121" s="18">
        <v>-390000</v>
      </c>
      <c r="E121" s="234" t="s">
        <v>5337</v>
      </c>
      <c r="H121" t="s">
        <v>25</v>
      </c>
      <c r="J121" t="s">
        <v>25</v>
      </c>
    </row>
    <row r="122" spans="4:10">
      <c r="D122" s="18">
        <v>2432520</v>
      </c>
      <c r="E122" s="234" t="s">
        <v>5338</v>
      </c>
    </row>
    <row r="123" spans="4:10">
      <c r="D123" s="18">
        <v>8000000</v>
      </c>
      <c r="E123" s="234" t="s">
        <v>5353</v>
      </c>
    </row>
    <row r="124" spans="4:10">
      <c r="D124" s="18">
        <v>-83930</v>
      </c>
      <c r="E124" s="234" t="s">
        <v>5362</v>
      </c>
    </row>
    <row r="125" spans="4:10">
      <c r="D125" s="18">
        <v>1000000</v>
      </c>
      <c r="E125" s="234" t="s">
        <v>5390</v>
      </c>
    </row>
    <row r="126" spans="4:10">
      <c r="D126" s="18">
        <v>-1333333</v>
      </c>
      <c r="E126" s="234" t="s">
        <v>5391</v>
      </c>
      <c r="J126" t="s">
        <v>25</v>
      </c>
    </row>
    <row r="127" spans="4:10">
      <c r="D127" s="18">
        <v>-1050000</v>
      </c>
      <c r="E127" s="234" t="s">
        <v>5407</v>
      </c>
    </row>
    <row r="128" spans="4:10">
      <c r="D128" s="18">
        <v>-2000000</v>
      </c>
      <c r="E128" s="234" t="s">
        <v>5414</v>
      </c>
      <c r="I128" t="s">
        <v>25</v>
      </c>
    </row>
    <row r="129" spans="4:5">
      <c r="D129" s="18">
        <v>-250000</v>
      </c>
      <c r="E129" s="234" t="s">
        <v>5422</v>
      </c>
    </row>
    <row r="130" spans="4:5">
      <c r="D130" s="18">
        <v>-550000</v>
      </c>
      <c r="E130" s="234" t="s">
        <v>5426</v>
      </c>
    </row>
    <row r="131" spans="4:5">
      <c r="D131" s="18">
        <v>210000</v>
      </c>
      <c r="E131" s="234" t="s">
        <v>5427</v>
      </c>
    </row>
    <row r="132" spans="4:5">
      <c r="D132" s="18">
        <v>-724200</v>
      </c>
      <c r="E132" s="234" t="s">
        <v>5458</v>
      </c>
    </row>
    <row r="133" spans="4:5">
      <c r="D133" s="18">
        <v>-400000</v>
      </c>
      <c r="E133" s="234" t="s">
        <v>5468</v>
      </c>
    </row>
    <row r="134" spans="4:5">
      <c r="D134" s="18">
        <v>-550000</v>
      </c>
      <c r="E134" s="234" t="s">
        <v>5476</v>
      </c>
    </row>
    <row r="135" spans="4:5">
      <c r="D135" s="18">
        <v>-2167000</v>
      </c>
      <c r="E135" s="234" t="s">
        <v>5479</v>
      </c>
    </row>
    <row r="136" spans="4:5">
      <c r="D136" s="18">
        <v>-125000</v>
      </c>
      <c r="E136" s="234" t="s">
        <v>5486</v>
      </c>
    </row>
    <row r="137" spans="4:5">
      <c r="D137" s="18">
        <v>-200000</v>
      </c>
      <c r="E137" s="234" t="s">
        <v>5493</v>
      </c>
    </row>
    <row r="138" spans="4:5">
      <c r="D138" s="18">
        <v>-2000000</v>
      </c>
      <c r="E138" s="234" t="s">
        <v>5507</v>
      </c>
    </row>
    <row r="139" spans="4:5">
      <c r="D139" s="18">
        <v>-1287000</v>
      </c>
      <c r="E139" s="234" t="s">
        <v>5513</v>
      </c>
    </row>
    <row r="140" spans="4:5">
      <c r="D140" s="18">
        <v>-2000000</v>
      </c>
      <c r="E140" s="234" t="s">
        <v>5517</v>
      </c>
    </row>
    <row r="141" spans="4:5">
      <c r="D141" s="18">
        <v>-2500000</v>
      </c>
      <c r="E141" s="234" t="s">
        <v>5518</v>
      </c>
    </row>
    <row r="142" spans="4:5">
      <c r="D142" s="18">
        <v>-500000</v>
      </c>
      <c r="E142" s="234" t="s">
        <v>5534</v>
      </c>
    </row>
    <row r="143" spans="4:5">
      <c r="D143" s="18">
        <v>-83930</v>
      </c>
      <c r="E143" s="234" t="s">
        <v>5542</v>
      </c>
    </row>
    <row r="144" spans="4:5">
      <c r="D144" s="18">
        <v>-550000</v>
      </c>
      <c r="E144" s="234" t="s">
        <v>5541</v>
      </c>
    </row>
    <row r="145" spans="4:9">
      <c r="D145" s="18">
        <v>-25000</v>
      </c>
      <c r="E145" s="234" t="s">
        <v>5550</v>
      </c>
      <c r="I145" t="s">
        <v>25</v>
      </c>
    </row>
    <row r="146" spans="4:9">
      <c r="D146" s="18">
        <v>-180000</v>
      </c>
      <c r="E146" s="234" t="s">
        <v>5602</v>
      </c>
      <c r="G146" t="s">
        <v>25</v>
      </c>
    </row>
    <row r="147" spans="4:9">
      <c r="D147" s="18">
        <v>-30000</v>
      </c>
      <c r="E147" s="234" t="s">
        <v>5601</v>
      </c>
    </row>
    <row r="148" spans="4:9">
      <c r="D148" s="18">
        <v>-47000</v>
      </c>
      <c r="E148" s="234" t="s">
        <v>5600</v>
      </c>
    </row>
    <row r="149" spans="4:9">
      <c r="D149" s="18">
        <v>-1000000</v>
      </c>
      <c r="E149" s="234" t="s">
        <v>5603</v>
      </c>
    </row>
    <row r="150" spans="4:9">
      <c r="D150" s="18">
        <v>-500000</v>
      </c>
      <c r="E150" s="234" t="s">
        <v>5616</v>
      </c>
    </row>
    <row r="151" spans="4:9">
      <c r="D151" s="18">
        <v>-5000000</v>
      </c>
      <c r="E151" s="234" t="s">
        <v>5621</v>
      </c>
    </row>
    <row r="152" spans="4:9">
      <c r="D152" s="18">
        <v>-200000</v>
      </c>
      <c r="E152" s="234" t="s">
        <v>5631</v>
      </c>
    </row>
    <row r="153" spans="4:9">
      <c r="D153" s="18">
        <v>-268000</v>
      </c>
      <c r="E153" s="234" t="s">
        <v>5664</v>
      </c>
      <c r="I153" t="s">
        <v>25</v>
      </c>
    </row>
    <row r="154" spans="4:9">
      <c r="D154" s="18">
        <v>-1800000</v>
      </c>
      <c r="E154" s="234" t="s">
        <v>5680</v>
      </c>
    </row>
    <row r="155" spans="4:9" ht="30">
      <c r="D155" s="18">
        <v>-3200000</v>
      </c>
      <c r="E155" s="234" t="s">
        <v>5681</v>
      </c>
      <c r="I155" t="s">
        <v>25</v>
      </c>
    </row>
    <row r="156" spans="4:9">
      <c r="D156" s="18">
        <v>-300000</v>
      </c>
      <c r="E156" s="234" t="s">
        <v>5690</v>
      </c>
    </row>
    <row r="157" spans="4:9">
      <c r="D157" s="18">
        <v>-1300000</v>
      </c>
      <c r="E157" s="234" t="s">
        <v>5691</v>
      </c>
    </row>
    <row r="158" spans="4:9">
      <c r="D158" s="18">
        <v>860000</v>
      </c>
      <c r="E158" s="234" t="s">
        <v>5706</v>
      </c>
    </row>
    <row r="159" spans="4:9">
      <c r="D159" s="18">
        <v>-83900</v>
      </c>
      <c r="E159" s="234" t="s">
        <v>5714</v>
      </c>
      <c r="I159" t="s">
        <v>25</v>
      </c>
    </row>
    <row r="160" spans="4:9">
      <c r="D160" s="18">
        <v>-3810000</v>
      </c>
      <c r="E160" s="234" t="s">
        <v>5729</v>
      </c>
      <c r="H160" t="s">
        <v>25</v>
      </c>
    </row>
    <row r="161" spans="4:11">
      <c r="D161" s="18">
        <v>30000000</v>
      </c>
      <c r="E161" s="234" t="s">
        <v>5830</v>
      </c>
      <c r="I161" t="s">
        <v>25</v>
      </c>
    </row>
    <row r="162" spans="4:11">
      <c r="D162" s="18">
        <v>50000000</v>
      </c>
      <c r="E162" s="234" t="s">
        <v>5839</v>
      </c>
    </row>
    <row r="163" spans="4:11">
      <c r="D163" s="18">
        <v>-19100000</v>
      </c>
      <c r="E163" s="234" t="s">
        <v>5838</v>
      </c>
    </row>
    <row r="164" spans="4:11">
      <c r="D164" s="18">
        <v>1470000</v>
      </c>
      <c r="E164" s="234" t="s">
        <v>6393</v>
      </c>
      <c r="I164" t="s">
        <v>25</v>
      </c>
    </row>
    <row r="165" spans="4:11">
      <c r="D165" s="18">
        <v>-2540000</v>
      </c>
      <c r="E165" s="234" t="s">
        <v>6394</v>
      </c>
      <c r="K165" t="s">
        <v>25</v>
      </c>
    </row>
    <row r="166" spans="4:11">
      <c r="D166" s="18">
        <v>-1040000</v>
      </c>
      <c r="E166" s="234" t="s">
        <v>6395</v>
      </c>
    </row>
    <row r="167" spans="4:11">
      <c r="D167" s="18">
        <v>-50252149</v>
      </c>
      <c r="E167" s="234" t="s">
        <v>6402</v>
      </c>
    </row>
    <row r="168" spans="4:11">
      <c r="D168" s="18">
        <v>-1500000</v>
      </c>
      <c r="E168" s="234" t="s">
        <v>6693</v>
      </c>
    </row>
    <row r="169" spans="4:11">
      <c r="D169" s="18">
        <v>-2500000</v>
      </c>
      <c r="E169" s="234" t="s">
        <v>6694</v>
      </c>
      <c r="H169" t="s">
        <v>25</v>
      </c>
    </row>
    <row r="170" spans="4:11">
      <c r="D170" s="18">
        <v>-2600000</v>
      </c>
      <c r="E170" s="234" t="s">
        <v>6698</v>
      </c>
    </row>
    <row r="171" spans="4:11">
      <c r="D171" s="18">
        <v>-2060000</v>
      </c>
      <c r="E171" s="234" t="s">
        <v>6748</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دلار</vt:lpstr>
      <vt:lpstr>AgentBased</vt:lpstr>
      <vt:lpstr>سهام بنیادی</vt:lpstr>
      <vt:lpstr>وسپه</vt:lpstr>
      <vt:lpstr>تاپیکو</vt:lpstr>
      <vt:lpstr>ومهان</vt:lpstr>
      <vt:lpstr>وغدیر</vt:lpstr>
      <vt:lpstr>مهدی</vt:lpstr>
      <vt:lpstr>فروردین 98</vt:lpstr>
      <vt:lpstr>سارا</vt:lpstr>
      <vt:lpstr>مسکن ایلیا</vt:lpstr>
      <vt:lpstr>مسکن مریم یاران</vt:lpstr>
      <vt:lpstr>برنامه 5 ساله</vt:lpstr>
      <vt:lpstr>خرید و فروش نسبتی</vt:lpstr>
      <vt:lpstr>نقدینگی</vt:lpstr>
      <vt:lpstr>بدهی خانه</vt:lpstr>
      <vt:lpstr>معاملات مرتبط</vt:lpstr>
      <vt:lpstr>خرید و فروش سکه فیزیکی</vt:lpstr>
      <vt:lpstr>مسکن علی سید الشهدا</vt:lpstr>
      <vt:lpstr>استراتژی جدید</vt:lpstr>
      <vt:lpstr>strategy</vt:lpstr>
      <vt:lpstr>مسکن مریم سید الشهدا</vt:lpstr>
      <vt:lpstr>سرمایه گذاری ها</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2022-05-25T08:02:00Z</dcterms:modified>
</cp:coreProperties>
</file>