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525" windowWidth="14805" windowHeight="759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K98" i="63" l="1"/>
  <c r="K121" i="63"/>
  <c r="W416" i="18"/>
  <c r="S134" i="18"/>
  <c r="O455" i="52" l="1"/>
  <c r="O457" i="52"/>
  <c r="N456" i="52"/>
  <c r="O440" i="52"/>
  <c r="P440" i="52"/>
  <c r="O441" i="52"/>
  <c r="P441" i="52"/>
  <c r="O442" i="52"/>
  <c r="O443" i="52"/>
  <c r="O444" i="52"/>
  <c r="O445" i="52"/>
  <c r="P445" i="52"/>
  <c r="O446" i="52"/>
  <c r="P446" i="52"/>
  <c r="O447" i="52"/>
  <c r="P447" i="52"/>
  <c r="O448" i="52"/>
  <c r="P448" i="52"/>
  <c r="O449" i="52"/>
  <c r="P449" i="52"/>
  <c r="O450" i="52"/>
  <c r="P450" i="52"/>
  <c r="O451" i="52"/>
  <c r="P451" i="52"/>
  <c r="O452" i="52"/>
  <c r="P452" i="52"/>
  <c r="O453" i="52"/>
  <c r="P453" i="52"/>
  <c r="O454" i="52"/>
  <c r="P454" i="52"/>
  <c r="P455" i="52"/>
  <c r="O456" i="52"/>
  <c r="P456" i="52"/>
  <c r="P457" i="52"/>
  <c r="O458" i="52"/>
  <c r="P458" i="52"/>
  <c r="O459" i="52"/>
  <c r="P459" i="52"/>
  <c r="O460" i="52"/>
  <c r="P460" i="52"/>
  <c r="O461" i="52"/>
  <c r="P461" i="52"/>
  <c r="O462" i="52"/>
  <c r="P462" i="52"/>
  <c r="O463" i="52"/>
  <c r="P463" i="52"/>
  <c r="O464" i="52"/>
  <c r="P464" i="52"/>
  <c r="O465" i="52"/>
  <c r="P465" i="52"/>
  <c r="O466" i="52"/>
  <c r="P466" i="52"/>
  <c r="N441" i="52"/>
  <c r="N442" i="52"/>
  <c r="P442" i="52" s="1"/>
  <c r="N443" i="52"/>
  <c r="P444" i="52" s="1"/>
  <c r="N444" i="52"/>
  <c r="N445" i="52"/>
  <c r="N446" i="52"/>
  <c r="N447" i="52"/>
  <c r="N448" i="52"/>
  <c r="N449" i="52"/>
  <c r="N450" i="52"/>
  <c r="N451" i="52"/>
  <c r="N452" i="52"/>
  <c r="N453" i="52"/>
  <c r="N454" i="52"/>
  <c r="N455" i="52"/>
  <c r="N457" i="52"/>
  <c r="N458" i="52"/>
  <c r="N459" i="52"/>
  <c r="N460" i="52"/>
  <c r="N461" i="52"/>
  <c r="N462" i="52"/>
  <c r="N463" i="52"/>
  <c r="N464" i="52"/>
  <c r="N465" i="52"/>
  <c r="N466" i="52"/>
  <c r="J441" i="52"/>
  <c r="J442" i="52"/>
  <c r="J443" i="52"/>
  <c r="J444" i="52"/>
  <c r="J445" i="52"/>
  <c r="J446" i="52"/>
  <c r="J447" i="52"/>
  <c r="J448" i="52"/>
  <c r="J449" i="52"/>
  <c r="J450" i="52"/>
  <c r="J451" i="52"/>
  <c r="J452" i="52"/>
  <c r="J453" i="52"/>
  <c r="J454" i="52"/>
  <c r="J455" i="52"/>
  <c r="J456" i="52"/>
  <c r="J457" i="52"/>
  <c r="J458" i="52"/>
  <c r="J459" i="52"/>
  <c r="J460" i="52"/>
  <c r="J461" i="52"/>
  <c r="J462" i="52"/>
  <c r="J463" i="52"/>
  <c r="J464" i="52"/>
  <c r="J465" i="52"/>
  <c r="J466" i="52"/>
  <c r="H278" i="18"/>
  <c r="W415" i="18"/>
  <c r="G114" i="63"/>
  <c r="P443" i="52" l="1"/>
  <c r="W414" i="18"/>
  <c r="W413" i="18" l="1"/>
  <c r="A130" i="63" l="1"/>
  <c r="A134" i="63"/>
  <c r="C131" i="63"/>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C184" i="63" s="1"/>
  <c r="C185" i="63" s="1"/>
  <c r="C186" i="63" s="1"/>
  <c r="C187" i="63" s="1"/>
  <c r="C188" i="63" s="1"/>
  <c r="C189" i="63" s="1"/>
  <c r="C190" i="63" s="1"/>
  <c r="C191" i="63" s="1"/>
  <c r="C192" i="63" s="1"/>
  <c r="C193" i="63" s="1"/>
  <c r="C194" i="63" s="1"/>
  <c r="C195" i="63" s="1"/>
  <c r="C196" i="63" s="1"/>
  <c r="C197" i="63" s="1"/>
  <c r="E131" i="63"/>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E184" i="63" s="1"/>
  <c r="E185" i="63" s="1"/>
  <c r="E186" i="63" s="1"/>
  <c r="E187" i="63" s="1"/>
  <c r="E188" i="63" s="1"/>
  <c r="E189" i="63" s="1"/>
  <c r="E190" i="63" s="1"/>
  <c r="E191" i="63" s="1"/>
  <c r="E192" i="63" s="1"/>
  <c r="E193" i="63" s="1"/>
  <c r="E194" i="63" s="1"/>
  <c r="E195" i="63" s="1"/>
  <c r="E196" i="63" s="1"/>
  <c r="E197" i="63" s="1"/>
  <c r="F131" i="63"/>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F170" i="63" s="1"/>
  <c r="F171" i="63" s="1"/>
  <c r="F172" i="63" s="1"/>
  <c r="F173" i="63" s="1"/>
  <c r="F174" i="63" s="1"/>
  <c r="F175" i="63" s="1"/>
  <c r="F176" i="63" s="1"/>
  <c r="F177" i="63" s="1"/>
  <c r="F178" i="63" s="1"/>
  <c r="F179" i="63" s="1"/>
  <c r="F180" i="63" s="1"/>
  <c r="F181" i="63" s="1"/>
  <c r="F182" i="63" s="1"/>
  <c r="F183" i="63" s="1"/>
  <c r="F184" i="63" s="1"/>
  <c r="F185" i="63" s="1"/>
  <c r="F186" i="63" s="1"/>
  <c r="F187" i="63" s="1"/>
  <c r="F188" i="63" s="1"/>
  <c r="F189" i="63" s="1"/>
  <c r="F190" i="63" s="1"/>
  <c r="F191" i="63" s="1"/>
  <c r="F192" i="63" s="1"/>
  <c r="F193" i="63" s="1"/>
  <c r="F194" i="63" s="1"/>
  <c r="F195" i="63" s="1"/>
  <c r="F196" i="63" s="1"/>
  <c r="F197" i="63" s="1"/>
  <c r="W412" i="18" l="1"/>
  <c r="G88" i="63"/>
  <c r="H88" i="63"/>
  <c r="I88" i="63"/>
  <c r="W411" i="18" l="1"/>
  <c r="F90" i="63"/>
  <c r="C90" i="63"/>
  <c r="W410" i="18" l="1"/>
  <c r="G97" i="63" l="1"/>
  <c r="G89" i="63"/>
  <c r="H89" i="63"/>
  <c r="K89" i="63" s="1"/>
  <c r="I89" i="63"/>
  <c r="W409" i="18" l="1"/>
  <c r="W408" i="18" l="1"/>
  <c r="W407" i="18" l="1"/>
  <c r="G126" i="63"/>
  <c r="H96" i="63"/>
  <c r="I96" i="63"/>
  <c r="H97" i="63"/>
  <c r="K97" i="63" s="1"/>
  <c r="I97" i="63"/>
  <c r="G96" i="63"/>
  <c r="K144" i="18"/>
  <c r="W406" i="18" l="1"/>
  <c r="W405" i="18" l="1"/>
  <c r="W404" i="18" l="1"/>
  <c r="V152" i="18" l="1"/>
  <c r="W403" i="18"/>
  <c r="I165" i="18" l="1"/>
  <c r="G165" i="18"/>
  <c r="W399" i="18"/>
  <c r="W402" i="18"/>
  <c r="R462" i="18" l="1"/>
  <c r="W401" i="18"/>
  <c r="W400" i="18" l="1"/>
  <c r="W398" i="18" l="1"/>
  <c r="G115" i="63"/>
  <c r="H115" i="63"/>
  <c r="I115" i="63"/>
  <c r="G116" i="63"/>
  <c r="H116" i="63"/>
  <c r="I116" i="63"/>
  <c r="G117" i="63"/>
  <c r="H117" i="63"/>
  <c r="I117" i="63"/>
  <c r="G118" i="63"/>
  <c r="H118" i="63"/>
  <c r="I118" i="63"/>
  <c r="G119" i="63"/>
  <c r="H119" i="63"/>
  <c r="I119" i="63"/>
  <c r="H95" i="63"/>
  <c r="I95" i="63"/>
  <c r="G95" i="63"/>
  <c r="K117" i="63" l="1"/>
  <c r="K96" i="63"/>
  <c r="K115" i="63"/>
  <c r="K118" i="63"/>
  <c r="K116" i="63"/>
  <c r="K119" i="63"/>
  <c r="W397" i="18" l="1"/>
  <c r="U427" i="18" l="1"/>
  <c r="W395" i="18"/>
  <c r="W394" i="18"/>
  <c r="W393" i="18"/>
  <c r="W389" i="18"/>
  <c r="W390" i="18"/>
  <c r="W391" i="18"/>
  <c r="W392" i="18"/>
  <c r="W388" i="18"/>
  <c r="W396" i="18"/>
  <c r="V153" i="18" l="1"/>
  <c r="T145" i="18" s="1"/>
  <c r="L44" i="18"/>
  <c r="W387" i="18" l="1"/>
  <c r="G100" i="63"/>
  <c r="W386" i="18" l="1"/>
  <c r="W385" i="18" l="1"/>
  <c r="W384" i="18" l="1"/>
  <c r="W383" i="18" l="1"/>
  <c r="W382" i="18" l="1"/>
  <c r="W381" i="18"/>
  <c r="J126"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0" i="18"/>
  <c r="P437" i="52" l="1"/>
  <c r="P433" i="52"/>
  <c r="P429" i="52"/>
  <c r="P425" i="52"/>
  <c r="P421" i="52"/>
  <c r="P436" i="52"/>
  <c r="P432" i="52"/>
  <c r="P428" i="52"/>
  <c r="P424" i="52"/>
  <c r="P420" i="52"/>
  <c r="P438" i="52"/>
  <c r="P434" i="52"/>
  <c r="P430" i="52"/>
  <c r="P426" i="52"/>
  <c r="P422" i="52"/>
  <c r="P418" i="52"/>
  <c r="P439" i="52"/>
  <c r="P435" i="52"/>
  <c r="P431" i="52"/>
  <c r="P427" i="52"/>
  <c r="P423" i="52"/>
  <c r="P419" i="52"/>
  <c r="P417" i="52"/>
  <c r="W379" i="18"/>
  <c r="W378" i="18" l="1"/>
  <c r="W377" i="18" l="1"/>
  <c r="W376" i="18" l="1"/>
  <c r="W375" i="18" l="1"/>
  <c r="W374" i="18"/>
  <c r="R294" i="18"/>
  <c r="W373" i="18"/>
  <c r="W372" i="18"/>
  <c r="W426" i="18"/>
  <c r="W371" i="18" l="1"/>
  <c r="W370" i="18" l="1"/>
  <c r="I87" i="63" l="1"/>
  <c r="H87" i="63"/>
  <c r="K88" i="63" s="1"/>
  <c r="I125" i="63"/>
  <c r="I126" i="63" s="1"/>
  <c r="W369" i="18" l="1"/>
  <c r="V446" i="18"/>
  <c r="S235" i="18" l="1"/>
  <c r="G124" i="63" l="1"/>
  <c r="I90" i="63" l="1"/>
  <c r="G125" i="63" l="1"/>
  <c r="W368" i="18"/>
  <c r="AL249" i="18"/>
  <c r="AL248" i="18" s="1"/>
  <c r="AL247" i="18" s="1"/>
  <c r="AM248" i="18" l="1"/>
  <c r="AM249" i="18"/>
  <c r="P27" i="18"/>
  <c r="N27" i="18" s="1"/>
  <c r="AL246" i="18" l="1"/>
  <c r="AM247" i="18"/>
  <c r="AL245" i="18" l="1"/>
  <c r="AM246" i="18"/>
  <c r="J43" i="18"/>
  <c r="AL244" i="18" l="1"/>
  <c r="AM245" i="18"/>
  <c r="G87" i="63"/>
  <c r="AL243" i="18" l="1"/>
  <c r="AM244" i="18"/>
  <c r="G90" i="63"/>
  <c r="H90" i="63"/>
  <c r="K90" i="63" s="1"/>
  <c r="Q390" i="52"/>
  <c r="O390" i="52"/>
  <c r="J390" i="52"/>
  <c r="W367" i="18"/>
  <c r="L90" i="63" l="1"/>
  <c r="AL242" i="18"/>
  <c r="AM243" i="18"/>
  <c r="W366" i="18"/>
  <c r="W365" i="18"/>
  <c r="AJ250" i="18"/>
  <c r="AL241" i="18" l="1"/>
  <c r="AM242" i="18"/>
  <c r="AL240" i="18" l="1"/>
  <c r="AM241" i="18"/>
  <c r="W364" i="18"/>
  <c r="S104" i="18"/>
  <c r="AL239" i="18" l="1"/>
  <c r="AM240" i="18"/>
  <c r="W363"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62" i="18"/>
  <c r="W361" i="18"/>
  <c r="W360" i="18"/>
  <c r="W359" i="18"/>
  <c r="W358" i="18"/>
  <c r="W357"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1" i="18"/>
  <c r="W352" i="18"/>
  <c r="W353" i="18"/>
  <c r="W354" i="18"/>
  <c r="W355" i="18"/>
  <c r="W356" i="18"/>
  <c r="AL230" i="18" l="1"/>
  <c r="AM231" i="18"/>
  <c r="W350" i="18"/>
  <c r="G94" i="63"/>
  <c r="H94" i="63"/>
  <c r="I94" i="63"/>
  <c r="K95" i="63" l="1"/>
  <c r="AL229" i="18"/>
  <c r="AM230" i="18"/>
  <c r="W349" i="18"/>
  <c r="G93" i="63"/>
  <c r="H93" i="63"/>
  <c r="K94" i="63" s="1"/>
  <c r="I93" i="63"/>
  <c r="AL228" i="18" l="1"/>
  <c r="AM229" i="18"/>
  <c r="W348" i="18"/>
  <c r="I92" i="63"/>
  <c r="H92" i="63"/>
  <c r="K93" i="63" s="1"/>
  <c r="G92" i="63"/>
  <c r="L112"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47" i="18"/>
  <c r="AL227" i="18" l="1"/>
  <c r="AM228" i="18"/>
  <c r="P375" i="52"/>
  <c r="P376" i="52"/>
  <c r="P368" i="52"/>
  <c r="P373" i="52"/>
  <c r="P372" i="52"/>
  <c r="P371" i="52"/>
  <c r="P370" i="52"/>
  <c r="P369" i="52"/>
  <c r="W346" i="18"/>
  <c r="AL226" i="18" l="1"/>
  <c r="AM227" i="18"/>
  <c r="H114" i="63"/>
  <c r="I114" i="63"/>
  <c r="AL225" i="18" l="1"/>
  <c r="AM226" i="18"/>
  <c r="W345" i="18"/>
  <c r="AL441" i="18"/>
  <c r="AM441" i="18" s="1"/>
  <c r="AL224" i="18" l="1"/>
  <c r="AM225" i="18"/>
  <c r="AL440" i="18"/>
  <c r="AL223" i="18" l="1"/>
  <c r="AM224" i="18"/>
  <c r="AL439" i="18"/>
  <c r="AM440" i="18"/>
  <c r="W344" i="18"/>
  <c r="AL222" i="18" l="1"/>
  <c r="AM223" i="18"/>
  <c r="AM439" i="18"/>
  <c r="AL438" i="18"/>
  <c r="O362" i="52"/>
  <c r="J362" i="52"/>
  <c r="AL221" i="18" l="1"/>
  <c r="AM222" i="18"/>
  <c r="AL437" i="18"/>
  <c r="AM438" i="18"/>
  <c r="AL220" i="18" l="1"/>
  <c r="AM221" i="18"/>
  <c r="AM437" i="18"/>
  <c r="AL436" i="18"/>
  <c r="AL219" i="18" l="1"/>
  <c r="AM220" i="18"/>
  <c r="AL435" i="18"/>
  <c r="AM436" i="18"/>
  <c r="M184" i="18"/>
  <c r="L184" i="18"/>
  <c r="AL218" i="18" l="1"/>
  <c r="AM219" i="18"/>
  <c r="AM435" i="18"/>
  <c r="AL434" i="18"/>
  <c r="M359" i="52"/>
  <c r="M360" i="52" s="1"/>
  <c r="W343" i="18"/>
  <c r="AL217" i="18" l="1"/>
  <c r="AM218" i="18"/>
  <c r="AL433" i="18"/>
  <c r="AM434" i="18"/>
  <c r="W342" i="18"/>
  <c r="AL216" i="18" l="1"/>
  <c r="AM217" i="18"/>
  <c r="AM433" i="18"/>
  <c r="AL432" i="18"/>
  <c r="W341" i="18"/>
  <c r="AL215" i="18" l="1"/>
  <c r="AM216" i="18"/>
  <c r="AL431" i="18"/>
  <c r="AM432" i="18"/>
  <c r="M183" i="18"/>
  <c r="L183" i="18"/>
  <c r="W340" i="18"/>
  <c r="AL214" i="18" l="1"/>
  <c r="AM214" i="18" s="1"/>
  <c r="AM215" i="18"/>
  <c r="AM431" i="18"/>
  <c r="AL430" i="18"/>
  <c r="W339" i="18"/>
  <c r="AL429" i="18" l="1"/>
  <c r="AM430" i="18"/>
  <c r="W338" i="18"/>
  <c r="AM429" i="18" l="1"/>
  <c r="AL428" i="18"/>
  <c r="D157" i="58"/>
  <c r="AL427" i="18" l="1"/>
  <c r="AM428" i="18"/>
  <c r="M182" i="18"/>
  <c r="L182" i="18"/>
  <c r="AM427" i="18" l="1"/>
  <c r="AL426" i="18"/>
  <c r="M181" i="18"/>
  <c r="L181" i="18"/>
  <c r="F98" i="63"/>
  <c r="C98" i="63"/>
  <c r="I98" i="63" l="1"/>
  <c r="G98" i="63"/>
  <c r="H98" i="63"/>
  <c r="AL425" i="18"/>
  <c r="AM426" i="18"/>
  <c r="L178" i="18"/>
  <c r="M178" i="18"/>
  <c r="L179" i="18"/>
  <c r="M179" i="18"/>
  <c r="L180" i="18"/>
  <c r="M180" i="18"/>
  <c r="L187" i="18"/>
  <c r="M187" i="18"/>
  <c r="P41" i="18"/>
  <c r="L98" i="63" l="1"/>
  <c r="AM425" i="18"/>
  <c r="AL424" i="18"/>
  <c r="O348" i="52"/>
  <c r="G132" i="18"/>
  <c r="J132" i="18" s="1"/>
  <c r="W337" i="18"/>
  <c r="AL423" i="18" l="1"/>
  <c r="AM424" i="18"/>
  <c r="G102" i="18"/>
  <c r="G101" i="18"/>
  <c r="J125" i="18"/>
  <c r="G124" i="18"/>
  <c r="J124" i="18" s="1"/>
  <c r="W336" i="18"/>
  <c r="J347" i="52"/>
  <c r="AM423" i="18" l="1"/>
  <c r="AL422" i="18"/>
  <c r="I127" i="18"/>
  <c r="L177" i="18"/>
  <c r="M177" i="18"/>
  <c r="M176" i="18"/>
  <c r="L176" i="18"/>
  <c r="W335" i="18"/>
  <c r="AM422" i="18" l="1"/>
  <c r="AL421" i="18"/>
  <c r="F121" i="63"/>
  <c r="C121" i="63"/>
  <c r="W334" i="18"/>
  <c r="I121" i="63" l="1"/>
  <c r="G121" i="63"/>
  <c r="AM421" i="18"/>
  <c r="AL420" i="18"/>
  <c r="H121" i="63"/>
  <c r="AL419" i="18" l="1"/>
  <c r="AM420" i="18"/>
  <c r="AL418" i="18" l="1"/>
  <c r="AM419" i="18"/>
  <c r="W333" i="18" l="1"/>
  <c r="G112" i="63" l="1"/>
  <c r="H112" i="63"/>
  <c r="I112" i="63"/>
  <c r="G113" i="63"/>
  <c r="H113" i="63"/>
  <c r="I113" i="63"/>
  <c r="G111" i="63"/>
  <c r="H111" i="63"/>
  <c r="I111" i="63"/>
  <c r="G110" i="63"/>
  <c r="H110" i="63"/>
  <c r="I110" i="63"/>
  <c r="G109" i="63"/>
  <c r="H109" i="63"/>
  <c r="I109" i="63"/>
  <c r="G107" i="63"/>
  <c r="H107" i="63"/>
  <c r="I107" i="63"/>
  <c r="G106" i="63"/>
  <c r="H106" i="63"/>
  <c r="I106" i="63"/>
  <c r="K114" i="63" l="1"/>
  <c r="L121" i="63"/>
  <c r="K113" i="63"/>
  <c r="M121" i="63"/>
  <c r="M122" i="63" s="1"/>
  <c r="K110" i="63"/>
  <c r="K112" i="63"/>
  <c r="K107" i="63"/>
  <c r="K111" i="63"/>
  <c r="W332" i="18"/>
  <c r="N120" i="63" l="1"/>
  <c r="N121" i="63"/>
  <c r="M123" i="63"/>
  <c r="W331" i="18"/>
  <c r="M124" i="63" l="1"/>
  <c r="N122" i="63"/>
  <c r="W330" i="18"/>
  <c r="N348" i="52"/>
  <c r="M125" i="63" l="1"/>
  <c r="N123" i="63"/>
  <c r="W329" i="18"/>
  <c r="M126" i="63" l="1"/>
  <c r="N124" i="63"/>
  <c r="N125" i="63" l="1"/>
  <c r="M127" i="63"/>
  <c r="L80" i="63"/>
  <c r="M128" i="63" l="1"/>
  <c r="N126" i="63"/>
  <c r="K129" i="63" l="1"/>
  <c r="N127" i="63"/>
  <c r="O333" i="52"/>
  <c r="K130" i="63" l="1"/>
  <c r="N128" i="63"/>
  <c r="K131" i="63" l="1"/>
  <c r="L129" i="63"/>
  <c r="J333" i="52"/>
  <c r="K132" i="63" l="1"/>
  <c r="L130" i="63"/>
  <c r="J332" i="52"/>
  <c r="K133" i="63" l="1"/>
  <c r="L131"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K134" i="63"/>
  <c r="L132" i="63"/>
  <c r="P343" i="52"/>
  <c r="P341" i="52"/>
  <c r="P340" i="52"/>
  <c r="P338" i="52"/>
  <c r="P337" i="52"/>
  <c r="P349" i="52"/>
  <c r="P363" i="52"/>
  <c r="P355" i="52"/>
  <c r="P339" i="52"/>
  <c r="P332" i="52"/>
  <c r="P334" i="52"/>
  <c r="P331" i="52"/>
  <c r="J327" i="52"/>
  <c r="O327" i="52"/>
  <c r="K135" i="63" l="1"/>
  <c r="L133" i="63"/>
  <c r="M80" i="63"/>
  <c r="K136" i="63" l="1"/>
  <c r="L135" i="63" s="1"/>
  <c r="L134" i="63"/>
  <c r="C82" i="63"/>
  <c r="C81" i="63"/>
  <c r="L14" i="60"/>
  <c r="G82" i="63" l="1"/>
  <c r="H82" i="63"/>
  <c r="I82" i="63"/>
  <c r="G108" i="63"/>
  <c r="H108" i="63"/>
  <c r="I108" i="63"/>
  <c r="K108" i="63" l="1"/>
  <c r="K109" i="63"/>
  <c r="P23" i="18"/>
  <c r="N23" i="18" s="1"/>
  <c r="N43" i="18" l="1"/>
  <c r="M102" i="18" s="1"/>
  <c r="D48" i="60" l="1"/>
  <c r="F48" i="60" s="1"/>
  <c r="D47" i="60"/>
  <c r="F47" i="60" s="1"/>
  <c r="Y113" i="63" l="1"/>
  <c r="Y99" i="63"/>
  <c r="Y98" i="63"/>
  <c r="Y97" i="63"/>
  <c r="X110" i="63"/>
  <c r="Y110" i="63" s="1"/>
  <c r="I81" i="63"/>
  <c r="H81" i="63"/>
  <c r="G81" i="63"/>
  <c r="I102" i="63"/>
  <c r="H102" i="63"/>
  <c r="G102" i="63"/>
  <c r="I105" i="63"/>
  <c r="H105" i="63"/>
  <c r="G105" i="63"/>
  <c r="I103" i="63"/>
  <c r="H103" i="63"/>
  <c r="G103" i="63"/>
  <c r="I83" i="63"/>
  <c r="H83" i="63"/>
  <c r="G83" i="63"/>
  <c r="J319" i="52"/>
  <c r="I104" i="63"/>
  <c r="H104" i="63"/>
  <c r="G104" i="63"/>
  <c r="K103" i="63" l="1"/>
  <c r="K104" i="63"/>
  <c r="K105" i="63"/>
  <c r="K106" i="63"/>
  <c r="O319" i="52"/>
  <c r="G84" i="63" l="1"/>
  <c r="H84" i="63"/>
  <c r="I84" i="63"/>
  <c r="G85" i="63"/>
  <c r="H85" i="63"/>
  <c r="I85" i="63"/>
  <c r="X98" i="63" l="1"/>
  <c r="I101" i="63"/>
  <c r="G101" i="63"/>
  <c r="H101" i="63"/>
  <c r="L111" i="63" l="1"/>
  <c r="K102" i="63"/>
  <c r="I100" i="63"/>
  <c r="H100" i="63"/>
  <c r="K101" i="63" s="1"/>
  <c r="G77" i="63"/>
  <c r="G78" i="63"/>
  <c r="G79" i="63"/>
  <c r="G80" i="63"/>
  <c r="I80" i="63"/>
  <c r="H80" i="63"/>
  <c r="W309" i="18" l="1"/>
  <c r="G144" i="18" l="1"/>
  <c r="J144" i="18" s="1"/>
  <c r="W328"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7" i="18"/>
  <c r="D418" i="15" l="1"/>
  <c r="F419" i="15"/>
  <c r="F418" i="15" l="1"/>
  <c r="D417" i="15"/>
  <c r="I77" i="63"/>
  <c r="W326" i="18"/>
  <c r="O305" i="52"/>
  <c r="J305" i="52"/>
  <c r="D416" i="15" l="1"/>
  <c r="F417" i="15"/>
  <c r="D415" i="15" l="1"/>
  <c r="F416" i="15"/>
  <c r="W325" i="18"/>
  <c r="W324" i="18"/>
  <c r="O302" i="52"/>
  <c r="F415" i="15" l="1"/>
  <c r="D414" i="15"/>
  <c r="G143" i="18"/>
  <c r="D413" i="15" l="1"/>
  <c r="F414" i="15"/>
  <c r="D412" i="15" l="1"/>
  <c r="F413" i="15"/>
  <c r="W323" i="18"/>
  <c r="O301" i="52"/>
  <c r="J143" i="18"/>
  <c r="J146" i="18" l="1"/>
  <c r="L43" i="18" s="1"/>
  <c r="F412" i="15"/>
  <c r="D411" i="15"/>
  <c r="I146" i="18" l="1"/>
  <c r="D410" i="15"/>
  <c r="F411" i="15"/>
  <c r="W322" i="18"/>
  <c r="W321" i="18"/>
  <c r="J300" i="52"/>
  <c r="F410" i="15" l="1"/>
  <c r="D409" i="15"/>
  <c r="W320" i="18"/>
  <c r="O299" i="52"/>
  <c r="W319" i="18"/>
  <c r="W318"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7" i="18"/>
  <c r="W316" i="18"/>
  <c r="W315" i="18"/>
  <c r="P26" i="18"/>
  <c r="N26" i="18" s="1"/>
  <c r="O298" i="52"/>
  <c r="D407" i="15" l="1"/>
  <c r="F408" i="15"/>
  <c r="J298" i="52"/>
  <c r="F407" i="15" l="1"/>
  <c r="D406" i="15"/>
  <c r="O297" i="52"/>
  <c r="W314" i="18"/>
  <c r="W313" i="18"/>
  <c r="W312" i="18"/>
  <c r="T448" i="18" l="1"/>
  <c r="T450" i="18" s="1"/>
  <c r="D405" i="15"/>
  <c r="F406" i="15"/>
  <c r="W311" i="18"/>
  <c r="J296" i="52"/>
  <c r="D404" i="15" l="1"/>
  <c r="F405" i="15"/>
  <c r="J295" i="52"/>
  <c r="F404" i="15" l="1"/>
  <c r="D403" i="15"/>
  <c r="W310"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8"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7"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6" i="18"/>
  <c r="D388" i="15" l="1"/>
  <c r="F389" i="15"/>
  <c r="J275" i="52"/>
  <c r="F388" i="15" l="1"/>
  <c r="D387" i="15"/>
  <c r="W305" i="18"/>
  <c r="D386" i="15" l="1"/>
  <c r="F387" i="15"/>
  <c r="J274" i="52"/>
  <c r="F386" i="15" l="1"/>
  <c r="D385" i="15"/>
  <c r="W304" i="18"/>
  <c r="D384" i="15" l="1"/>
  <c r="F385" i="15"/>
  <c r="J271" i="52"/>
  <c r="D383" i="15" l="1"/>
  <c r="F384" i="15"/>
  <c r="J155" i="18"/>
  <c r="W303" i="18"/>
  <c r="N42" i="18"/>
  <c r="F383" i="15" l="1"/>
  <c r="D382" i="15"/>
  <c r="O269" i="52"/>
  <c r="F382" i="15" l="1"/>
  <c r="D381" i="15"/>
  <c r="J268" i="52"/>
  <c r="N268" i="52"/>
  <c r="W302"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1" i="18"/>
  <c r="W30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8" i="18"/>
  <c r="W297" i="18"/>
  <c r="W296" i="18"/>
  <c r="D364" i="15" l="1"/>
  <c r="F365" i="15"/>
  <c r="O223" i="52"/>
  <c r="W295" i="18"/>
  <c r="F364" i="15" l="1"/>
  <c r="D363" i="15"/>
  <c r="J222" i="52"/>
  <c r="W294" i="18"/>
  <c r="D362" i="15" l="1"/>
  <c r="F363" i="15"/>
  <c r="W293" i="18"/>
  <c r="W292" i="18"/>
  <c r="D361" i="15" l="1"/>
  <c r="F362" i="15"/>
  <c r="O220" i="52"/>
  <c r="F361" i="15" l="1"/>
  <c r="D360" i="15"/>
  <c r="W291" i="18"/>
  <c r="W290"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3" i="18"/>
  <c r="J153" i="18" s="1"/>
  <c r="G152" i="18"/>
  <c r="W288" i="18"/>
  <c r="J152" i="18" l="1"/>
  <c r="I156" i="18" s="1"/>
  <c r="F348" i="15"/>
  <c r="D347" i="15"/>
  <c r="O210" i="52"/>
  <c r="W287" i="18"/>
  <c r="D346" i="15" l="1"/>
  <c r="F347" i="15"/>
  <c r="J210" i="52"/>
  <c r="D345" i="15" l="1"/>
  <c r="F346" i="15"/>
  <c r="J209" i="52"/>
  <c r="O208" i="52"/>
  <c r="J208" i="52"/>
  <c r="D344" i="15" l="1"/>
  <c r="F345" i="15"/>
  <c r="W286" i="18"/>
  <c r="F344" i="15" l="1"/>
  <c r="D343" i="15"/>
  <c r="O207" i="52"/>
  <c r="J207" i="52"/>
  <c r="W285" i="18"/>
  <c r="D342" i="15" l="1"/>
  <c r="F343" i="15"/>
  <c r="W284" i="18"/>
  <c r="D341" i="15" l="1"/>
  <c r="F342" i="15"/>
  <c r="W283" i="18"/>
  <c r="D340" i="15" l="1"/>
  <c r="F341" i="15"/>
  <c r="O204" i="52"/>
  <c r="F340" i="15" l="1"/>
  <c r="D339" i="15"/>
  <c r="J203" i="52"/>
  <c r="W28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81" i="18"/>
  <c r="W280" i="18"/>
  <c r="W279" i="18"/>
  <c r="J202" i="52"/>
  <c r="D336" i="15" l="1"/>
  <c r="F337" i="15"/>
  <c r="W278" i="18"/>
  <c r="J201" i="52"/>
  <c r="W277" i="18"/>
  <c r="F336" i="15" l="1"/>
  <c r="D335" i="15"/>
  <c r="J200" i="52"/>
  <c r="D334" i="15" l="1"/>
  <c r="F335" i="15"/>
  <c r="W276" i="18"/>
  <c r="W275" i="18"/>
  <c r="F334" i="15" l="1"/>
  <c r="D333" i="15"/>
  <c r="W274"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3" i="18"/>
  <c r="F330" i="15" l="1"/>
  <c r="D329" i="15"/>
  <c r="D328" i="15" l="1"/>
  <c r="F329" i="15"/>
  <c r="W272" i="18"/>
  <c r="D327" i="15" l="1"/>
  <c r="F328" i="15"/>
  <c r="W271" i="18"/>
  <c r="AL213" i="18" l="1"/>
  <c r="F327" i="15"/>
  <c r="D326" i="15"/>
  <c r="AL212" i="18" l="1"/>
  <c r="AM213" i="18"/>
  <c r="F326" i="15"/>
  <c r="D325" i="15"/>
  <c r="J195" i="52"/>
  <c r="O195" i="52"/>
  <c r="J194" i="52"/>
  <c r="W270" i="18"/>
  <c r="AL211" i="18" l="1"/>
  <c r="AM212" i="18"/>
  <c r="F325" i="15"/>
  <c r="D324" i="15"/>
  <c r="N194" i="52"/>
  <c r="W269" i="18"/>
  <c r="W268" i="18"/>
  <c r="AL210" i="18" l="1"/>
  <c r="AM211" i="18"/>
  <c r="F324" i="15"/>
  <c r="D323" i="15"/>
  <c r="W267" i="18"/>
  <c r="AM210" i="18" l="1"/>
  <c r="AL209" i="18"/>
  <c r="F323" i="15"/>
  <c r="D322" i="15"/>
  <c r="R142" i="18"/>
  <c r="S142" i="18" s="1"/>
  <c r="AL208" i="18" l="1"/>
  <c r="AM209" i="18"/>
  <c r="F322" i="15"/>
  <c r="D321" i="15"/>
  <c r="W266" i="18"/>
  <c r="AM208" i="18" l="1"/>
  <c r="AL207" i="18"/>
  <c r="F321" i="15"/>
  <c r="D320" i="15"/>
  <c r="W265" i="18"/>
  <c r="O190" i="52"/>
  <c r="J190" i="52"/>
  <c r="AL206" i="18" l="1"/>
  <c r="AM207" i="18"/>
  <c r="F320" i="15"/>
  <c r="D319" i="15"/>
  <c r="W264" i="18"/>
  <c r="AM206" i="18" l="1"/>
  <c r="AL205" i="18"/>
  <c r="F319" i="15"/>
  <c r="D318" i="15"/>
  <c r="N48" i="18"/>
  <c r="N46" i="18"/>
  <c r="AM205" i="18" l="1"/>
  <c r="AL204" i="18"/>
  <c r="F318" i="15"/>
  <c r="D317" i="15"/>
  <c r="O187" i="52"/>
  <c r="W263" i="18"/>
  <c r="AM204" i="18" l="1"/>
  <c r="AL203" i="18"/>
  <c r="F317" i="15"/>
  <c r="D316" i="15"/>
  <c r="J186" i="52"/>
  <c r="W262" i="18"/>
  <c r="W250" i="18"/>
  <c r="W249" i="18"/>
  <c r="AM203" i="18" l="1"/>
  <c r="AL202" i="18"/>
  <c r="F316" i="15"/>
  <c r="D315" i="15"/>
  <c r="J185" i="52"/>
  <c r="W261" i="18"/>
  <c r="AM202" i="18" l="1"/>
  <c r="AL201" i="18"/>
  <c r="F315" i="15"/>
  <c r="D314" i="15"/>
  <c r="AL200" i="18" l="1"/>
  <c r="AM201" i="18"/>
  <c r="F314" i="15"/>
  <c r="D313" i="15"/>
  <c r="AL199" i="18" l="1"/>
  <c r="AM200" i="18"/>
  <c r="F313" i="15"/>
  <c r="D312" i="15"/>
  <c r="N181" i="52"/>
  <c r="AL198" i="18" l="1"/>
  <c r="AM199" i="18"/>
  <c r="F312" i="15"/>
  <c r="D311" i="15"/>
  <c r="W260" i="18"/>
  <c r="B8" i="36"/>
  <c r="AL197" i="18" l="1"/>
  <c r="AM198" i="18"/>
  <c r="F311" i="15"/>
  <c r="D310" i="15"/>
  <c r="O178" i="52"/>
  <c r="J178" i="52"/>
  <c r="AM197" i="18" l="1"/>
  <c r="AL196" i="18"/>
  <c r="F310" i="15"/>
  <c r="D309" i="15"/>
  <c r="N44" i="18"/>
  <c r="G166" i="18" s="1"/>
  <c r="W259" i="18"/>
  <c r="O177" i="52"/>
  <c r="J177" i="52"/>
  <c r="M101" i="18" l="1"/>
  <c r="G167" i="18"/>
  <c r="AM196" i="18"/>
  <c r="AL195" i="18"/>
  <c r="F309" i="15"/>
  <c r="D308" i="15"/>
  <c r="O176" i="52"/>
  <c r="J176" i="52"/>
  <c r="AM195" i="18" l="1"/>
  <c r="AL194" i="18"/>
  <c r="F308" i="15"/>
  <c r="D307" i="15"/>
  <c r="F307" i="15" s="1"/>
  <c r="AM194" i="18" l="1"/>
  <c r="AL193" i="18"/>
  <c r="J174" i="52"/>
  <c r="W258" i="18"/>
  <c r="AM193" i="18" l="1"/>
  <c r="AL192" i="18"/>
  <c r="J168" i="52"/>
  <c r="O168" i="52"/>
  <c r="W257" i="18"/>
  <c r="AM192" i="18" l="1"/>
  <c r="AL191" i="18"/>
  <c r="AM191" i="18" s="1"/>
  <c r="O167" i="52"/>
  <c r="W256" i="18"/>
  <c r="O166" i="52" l="1"/>
  <c r="W255" i="18"/>
  <c r="W254" i="18" l="1"/>
  <c r="O165" i="52"/>
  <c r="J165" i="52"/>
  <c r="C7" i="60" l="1"/>
  <c r="D3" i="60"/>
  <c r="D4" i="60"/>
  <c r="D5" i="60"/>
  <c r="D2" i="60"/>
  <c r="F2" i="60"/>
  <c r="AL417" i="18" l="1"/>
  <c r="AM418" i="18"/>
  <c r="O162" i="52"/>
  <c r="J162" i="52"/>
  <c r="W253"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52" i="18"/>
  <c r="AL413" i="18" l="1"/>
  <c r="AM414" i="18"/>
  <c r="W251" i="18"/>
  <c r="AM413" i="18" l="1"/>
  <c r="AL412" i="18"/>
  <c r="AL190" i="18"/>
  <c r="AL411" i="18" l="1"/>
  <c r="AM412" i="18"/>
  <c r="AL189" i="18"/>
  <c r="AM190" i="18"/>
  <c r="N159" i="52"/>
  <c r="P160" i="52" s="1"/>
  <c r="W248"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47" i="18"/>
  <c r="W246" i="18"/>
  <c r="O150" i="52"/>
  <c r="AL406" i="18" l="1"/>
  <c r="AM407" i="18"/>
  <c r="AM185" i="18"/>
  <c r="AL184" i="18"/>
  <c r="AL405" i="18" l="1"/>
  <c r="AM406" i="18"/>
  <c r="AL183" i="18"/>
  <c r="AM184" i="18"/>
  <c r="Q146" i="52"/>
  <c r="J146" i="52"/>
  <c r="W24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44" i="18"/>
  <c r="AM403" i="18" l="1"/>
  <c r="AL402" i="18"/>
  <c r="AM181" i="18"/>
  <c r="AL180" i="18"/>
  <c r="J138" i="18"/>
  <c r="I138" i="18" s="1"/>
  <c r="G131" i="18"/>
  <c r="J131" i="18" s="1"/>
  <c r="J133" i="18" s="1"/>
  <c r="I133" i="18" s="1"/>
  <c r="W243" i="18"/>
  <c r="AL401" i="18" l="1"/>
  <c r="AM402" i="18"/>
  <c r="AM180" i="18"/>
  <c r="AL179" i="18"/>
  <c r="O142" i="52"/>
  <c r="J142" i="52"/>
  <c r="W242" i="18"/>
  <c r="AL400" i="18" l="1"/>
  <c r="AM401" i="18"/>
  <c r="AM179" i="18"/>
  <c r="AL178" i="18"/>
  <c r="AM178" i="18" s="1"/>
  <c r="O140" i="52"/>
  <c r="J140" i="52"/>
  <c r="W241" i="18"/>
  <c r="AM400" i="18" l="1"/>
  <c r="AL399" i="18"/>
  <c r="W240" i="18"/>
  <c r="W239" i="18"/>
  <c r="O139" i="52"/>
  <c r="J139" i="52"/>
  <c r="AM399" i="18" l="1"/>
  <c r="AL398" i="18"/>
  <c r="W238" i="18"/>
  <c r="AM398" i="18" l="1"/>
  <c r="AL397" i="18"/>
  <c r="AM397" i="18" l="1"/>
  <c r="AL396" i="18"/>
  <c r="M41" i="52"/>
  <c r="AM396" i="18" l="1"/>
  <c r="AL395" i="18"/>
  <c r="O135" i="52"/>
  <c r="J135" i="52"/>
  <c r="AM395" i="18" l="1"/>
  <c r="AL394" i="18"/>
  <c r="AL393" i="18" l="1"/>
  <c r="AM394" i="18"/>
  <c r="W237" i="18"/>
  <c r="AL392" i="18" l="1"/>
  <c r="AM393" i="18"/>
  <c r="O132" i="52"/>
  <c r="W236" i="18"/>
  <c r="AM392" i="18" l="1"/>
  <c r="AL391" i="18"/>
  <c r="O131" i="52"/>
  <c r="J3" i="60"/>
  <c r="J4" i="60"/>
  <c r="J5" i="60"/>
  <c r="J2" i="60"/>
  <c r="I9" i="60"/>
  <c r="I7" i="60"/>
  <c r="AL390" i="18" l="1"/>
  <c r="AM391" i="18"/>
  <c r="O130" i="52"/>
  <c r="O129" i="52"/>
  <c r="W235" i="18"/>
  <c r="W234" i="18"/>
  <c r="AL389" i="18" l="1"/>
  <c r="AM390" i="18"/>
  <c r="N129" i="52"/>
  <c r="AL388" i="18" l="1"/>
  <c r="AM389" i="18"/>
  <c r="O127" i="52"/>
  <c r="AL387" i="18" l="1"/>
  <c r="AM388" i="18"/>
  <c r="J126" i="52"/>
  <c r="O126" i="52"/>
  <c r="W233" i="18"/>
  <c r="AM387" i="18" l="1"/>
  <c r="AL386" i="18"/>
  <c r="O125" i="52"/>
  <c r="J125" i="52"/>
  <c r="AM386" i="18" l="1"/>
  <c r="AL385" i="18"/>
  <c r="W232"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1"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30" i="18"/>
  <c r="AM382" i="18" l="1"/>
  <c r="AL381" i="18"/>
  <c r="AM381" i="18" l="1"/>
  <c r="AL380" i="18"/>
  <c r="O121" i="52"/>
  <c r="J121" i="52"/>
  <c r="W229" i="18"/>
  <c r="AL379" i="18" l="1"/>
  <c r="AM380" i="18"/>
  <c r="W228" i="18"/>
  <c r="J120" i="52"/>
  <c r="AM379" i="18" l="1"/>
  <c r="AL378" i="18"/>
  <c r="AL377" i="18" l="1"/>
  <c r="AM378" i="18"/>
  <c r="O117" i="52"/>
  <c r="AM377" i="18" l="1"/>
  <c r="AL376" i="18"/>
  <c r="O116" i="52"/>
  <c r="N116" i="52"/>
  <c r="AM376" i="18" l="1"/>
  <c r="AL375" i="18"/>
  <c r="W227"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26" i="18"/>
  <c r="J108" i="52"/>
  <c r="AM367" i="18" l="1"/>
  <c r="AL366" i="18"/>
  <c r="D303" i="15"/>
  <c r="F303" i="15" s="1"/>
  <c r="W225" i="18"/>
  <c r="W224" i="18"/>
  <c r="AM366" i="18" l="1"/>
  <c r="AL365" i="18"/>
  <c r="D302" i="15"/>
  <c r="F302" i="15" s="1"/>
  <c r="O106" i="52"/>
  <c r="J106" i="52"/>
  <c r="AL364" i="18" l="1"/>
  <c r="AM365" i="18"/>
  <c r="D301" i="15"/>
  <c r="F301" i="15" s="1"/>
  <c r="J104" i="52"/>
  <c r="G117" i="18"/>
  <c r="J117" i="18" s="1"/>
  <c r="J120" i="18" s="1"/>
  <c r="I120" i="18" s="1"/>
  <c r="E276" i="15"/>
  <c r="E277" i="15"/>
  <c r="E278" i="15"/>
  <c r="E279" i="15"/>
  <c r="E280" i="15"/>
  <c r="AL363" i="18" l="1"/>
  <c r="AM364" i="18"/>
  <c r="D300" i="15"/>
  <c r="F300" i="15" s="1"/>
  <c r="W223"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2"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21"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43" i="18"/>
  <c r="W220" i="18"/>
  <c r="W219" i="18"/>
  <c r="W218" i="18"/>
  <c r="M48" i="52"/>
  <c r="M47" i="52"/>
  <c r="N38" i="52"/>
  <c r="N37" i="52"/>
  <c r="M49" i="52"/>
  <c r="N50" i="52" s="1"/>
  <c r="AL350" i="18" l="1"/>
  <c r="AM351" i="18"/>
  <c r="D287" i="15"/>
  <c r="F287" i="15" s="1"/>
  <c r="N49" i="52"/>
  <c r="W217" i="18"/>
  <c r="AM350" i="18" l="1"/>
  <c r="AL349" i="18"/>
  <c r="D286" i="15"/>
  <c r="F286" i="15" s="1"/>
  <c r="AL348" i="18" l="1"/>
  <c r="AM349" i="18"/>
  <c r="D285" i="15"/>
  <c r="F285" i="15" s="1"/>
  <c r="W216"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5" i="18"/>
  <c r="AM346" i="18" l="1"/>
  <c r="AL345" i="18"/>
  <c r="D282" i="15"/>
  <c r="F282" i="15" s="1"/>
  <c r="G32" i="57"/>
  <c r="H32" i="57"/>
  <c r="D32" i="57"/>
  <c r="I32" i="57" s="1"/>
  <c r="D345" i="20"/>
  <c r="W214" i="18"/>
  <c r="W213"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12" i="18"/>
  <c r="D343" i="20"/>
  <c r="AL341" i="18" l="1"/>
  <c r="AM342" i="18"/>
  <c r="D278" i="15"/>
  <c r="F278" i="15" s="1"/>
  <c r="W211" i="18"/>
  <c r="D342" i="20"/>
  <c r="J83" i="52"/>
  <c r="O83" i="52"/>
  <c r="W210" i="18"/>
  <c r="W209" i="18"/>
  <c r="F44" i="14"/>
  <c r="F45" i="14"/>
  <c r="F46" i="14"/>
  <c r="F47" i="14"/>
  <c r="F48" i="14"/>
  <c r="F49" i="14"/>
  <c r="F50" i="14"/>
  <c r="D341" i="20"/>
  <c r="AL340" i="18" l="1"/>
  <c r="AM341" i="18"/>
  <c r="D277" i="15"/>
  <c r="F277" i="15" s="1"/>
  <c r="AJ442" i="18"/>
  <c r="AM340" i="18" l="1"/>
  <c r="AL339" i="18"/>
  <c r="D276" i="15"/>
  <c r="F276" i="15" s="1"/>
  <c r="W208" i="18"/>
  <c r="AL338" i="18" l="1"/>
  <c r="AM339" i="18"/>
  <c r="D340" i="20"/>
  <c r="W207" i="18"/>
  <c r="H337" i="20"/>
  <c r="H338" i="20"/>
  <c r="H339" i="20"/>
  <c r="H340" i="20"/>
  <c r="H341" i="20"/>
  <c r="H368" i="20"/>
  <c r="H369" i="20"/>
  <c r="D339" i="20"/>
  <c r="AL337" i="18" l="1"/>
  <c r="AM338" i="18"/>
  <c r="B371" i="20"/>
  <c r="D332" i="20"/>
  <c r="D333" i="20"/>
  <c r="D334" i="20"/>
  <c r="D335" i="20"/>
  <c r="D336" i="20"/>
  <c r="D337" i="20"/>
  <c r="D338" i="20"/>
  <c r="D369" i="20"/>
  <c r="AL336" i="18" l="1"/>
  <c r="AM337" i="18"/>
  <c r="W206" i="18"/>
  <c r="D80" i="57"/>
  <c r="AL335" i="18" l="1"/>
  <c r="AM336" i="18"/>
  <c r="G46" i="10"/>
  <c r="AL334" i="18" l="1"/>
  <c r="AM335" i="18"/>
  <c r="D331" i="20"/>
  <c r="AL333" i="18" l="1"/>
  <c r="AM334" i="18"/>
  <c r="D330" i="20"/>
  <c r="AL332" i="18" l="1"/>
  <c r="AM333" i="18"/>
  <c r="W205" i="18"/>
  <c r="W204"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03" i="18"/>
  <c r="W202" i="18"/>
  <c r="AL320" i="18" l="1"/>
  <c r="AM321" i="18"/>
  <c r="R16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01" i="18"/>
  <c r="W200" i="18"/>
  <c r="L33" i="18"/>
  <c r="N36" i="52"/>
  <c r="N35" i="52"/>
  <c r="Q42" i="52"/>
  <c r="AL318" i="18" l="1"/>
  <c r="AM319" i="18"/>
  <c r="W199" i="18"/>
  <c r="W198"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97" i="18"/>
  <c r="W196" i="18"/>
  <c r="N32" i="52"/>
  <c r="N31" i="52"/>
  <c r="AL313" i="18" l="1"/>
  <c r="AM313" i="18" s="1"/>
  <c r="AM314" i="18"/>
  <c r="W195" i="18"/>
  <c r="W194" i="18"/>
  <c r="N30" i="52"/>
  <c r="N29" i="52"/>
  <c r="W193" i="18" l="1"/>
  <c r="W192" i="18"/>
  <c r="N28" i="52"/>
  <c r="N27" i="52"/>
  <c r="AL312" i="18" l="1"/>
  <c r="D313" i="20"/>
  <c r="AL311" i="18" l="1"/>
  <c r="AM312" i="18"/>
  <c r="L108" i="18"/>
  <c r="L103" i="18" l="1"/>
  <c r="N103" i="18" s="1"/>
  <c r="L105" i="18"/>
  <c r="N105" i="18" s="1"/>
  <c r="L104" i="18"/>
  <c r="N104" i="18" s="1"/>
  <c r="M108" i="18"/>
  <c r="AM311" i="18"/>
  <c r="AL310" i="18"/>
  <c r="L100" i="18"/>
  <c r="W191" i="18"/>
  <c r="W190"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9" i="18"/>
  <c r="W188" i="18"/>
  <c r="N23" i="52"/>
  <c r="N22" i="52"/>
  <c r="I368" i="20" l="1"/>
  <c r="G367" i="20"/>
  <c r="J368" i="20"/>
  <c r="K368" i="20"/>
  <c r="AL307" i="18"/>
  <c r="AM308" i="18"/>
  <c r="W187" i="18"/>
  <c r="W186"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85" i="18"/>
  <c r="W184"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83" i="18"/>
  <c r="W182" i="18"/>
  <c r="N17" i="52"/>
  <c r="N16" i="52"/>
  <c r="AL170" i="18" l="1"/>
  <c r="AM171" i="18"/>
  <c r="I356" i="20"/>
  <c r="G355" i="20"/>
  <c r="J356" i="20"/>
  <c r="K356" i="20"/>
  <c r="L101" i="18"/>
  <c r="AL169" i="18" l="1"/>
  <c r="AL168" i="18" s="1"/>
  <c r="AM170" i="18"/>
  <c r="J355" i="20"/>
  <c r="I355" i="20"/>
  <c r="G354" i="20"/>
  <c r="K355" i="20"/>
  <c r="W181" i="18"/>
  <c r="W180" i="18"/>
  <c r="D303" i="20"/>
  <c r="D302" i="20"/>
  <c r="W179"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7" i="18"/>
  <c r="AL163" i="18" l="1"/>
  <c r="AM164" i="18"/>
  <c r="I350" i="20"/>
  <c r="J350" i="20"/>
  <c r="K350" i="20"/>
  <c r="G349" i="20"/>
  <c r="D296" i="20"/>
  <c r="D295" i="20"/>
  <c r="AM163" i="18" l="1"/>
  <c r="AL162" i="18"/>
  <c r="K349" i="20"/>
  <c r="I349" i="20"/>
  <c r="J349" i="20"/>
  <c r="G348" i="20"/>
  <c r="W176" i="18"/>
  <c r="W175"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74" i="18"/>
  <c r="W173" i="18"/>
  <c r="AM161" i="18" l="1"/>
  <c r="AL160" i="18"/>
  <c r="G346" i="20"/>
  <c r="J347" i="20"/>
  <c r="I347" i="20"/>
  <c r="K347" i="20"/>
  <c r="D293" i="20"/>
  <c r="AL159" i="18" l="1"/>
  <c r="AM160" i="18"/>
  <c r="K346" i="20"/>
  <c r="G345" i="20"/>
  <c r="J346" i="20"/>
  <c r="I346" i="20"/>
  <c r="W172" i="18"/>
  <c r="AM159" i="18" l="1"/>
  <c r="AL158" i="18"/>
  <c r="K345" i="20"/>
  <c r="G344" i="20"/>
  <c r="J345" i="20"/>
  <c r="I345" i="20"/>
  <c r="D292" i="20"/>
  <c r="C8" i="36"/>
  <c r="W17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9"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7" i="18"/>
  <c r="AM124" i="18" l="1"/>
  <c r="AL123" i="18"/>
  <c r="AM123" i="18" l="1"/>
  <c r="AL122" i="18"/>
  <c r="AL121" i="18" l="1"/>
  <c r="AM122" i="18"/>
  <c r="W161" i="18"/>
  <c r="W162" i="18"/>
  <c r="W163" i="18"/>
  <c r="W164" i="18"/>
  <c r="W165" i="18"/>
  <c r="W166" i="18"/>
  <c r="W178" i="18"/>
  <c r="W160" i="18"/>
  <c r="AM121" i="18" l="1"/>
  <c r="AL120" i="18"/>
  <c r="N47" i="18"/>
  <c r="AM120" i="18" l="1"/>
  <c r="AL119" i="18"/>
  <c r="AM119" i="18" l="1"/>
  <c r="AL118" i="18"/>
  <c r="S76" i="18"/>
  <c r="S77" i="18" s="1"/>
  <c r="S78" i="18" s="1"/>
  <c r="R166" i="18"/>
  <c r="R164" i="18"/>
  <c r="D57" i="51"/>
  <c r="AL117" i="18" l="1"/>
  <c r="AM118" i="18"/>
  <c r="S79" i="18"/>
  <c r="S80" i="18" s="1"/>
  <c r="AM117" i="18" l="1"/>
  <c r="AL116" i="18"/>
  <c r="S81" i="18"/>
  <c r="S82" i="18" s="1"/>
  <c r="N28" i="18"/>
  <c r="Q95" i="18" l="1"/>
  <c r="R16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3" i="18" l="1"/>
  <c r="S84" i="18" s="1"/>
  <c r="S85" i="18" s="1"/>
  <c r="AL113" i="18"/>
  <c r="AM114" i="18"/>
  <c r="S20" i="18"/>
  <c r="S21" i="18" s="1"/>
  <c r="AL112" i="18" l="1"/>
  <c r="AM113" i="18"/>
  <c r="Q137" i="18" l="1"/>
  <c r="AM112" i="18"/>
  <c r="AL111" i="18"/>
  <c r="D108" i="50"/>
  <c r="S86" i="18" l="1"/>
  <c r="S87" i="18" s="1"/>
  <c r="AL110" i="18"/>
  <c r="AM111" i="18"/>
  <c r="AL109" i="18" l="1"/>
  <c r="AM110" i="18"/>
  <c r="N102" i="18" l="1"/>
  <c r="AL108" i="18"/>
  <c r="AM109" i="18"/>
  <c r="N22" i="33"/>
  <c r="R22" i="33" s="1"/>
  <c r="S88" i="18" l="1"/>
  <c r="S89" i="18" s="1"/>
  <c r="E22" i="33"/>
  <c r="AL107" i="18"/>
  <c r="AM108" i="18"/>
  <c r="C22" i="33"/>
  <c r="J22" i="33"/>
  <c r="F22" i="33"/>
  <c r="B22" i="33"/>
  <c r="I22" i="33"/>
  <c r="L22" i="33"/>
  <c r="H22" i="33"/>
  <c r="D22" i="33"/>
  <c r="K22" i="33"/>
  <c r="G22" i="33"/>
  <c r="S90" i="18" l="1"/>
  <c r="S91" i="18" s="1"/>
  <c r="S92"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6" i="18" s="1"/>
  <c r="M100" i="18" l="1"/>
  <c r="I167" i="18"/>
  <c r="Q71" i="18"/>
  <c r="R162"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S47" i="18" s="1"/>
  <c r="AL81" i="18"/>
  <c r="AM82" i="18"/>
  <c r="AM268" i="18"/>
  <c r="AL267" i="18"/>
  <c r="AM267" i="18" s="1"/>
  <c r="L16" i="33"/>
  <c r="J16" i="33"/>
  <c r="F16" i="33"/>
  <c r="C16" i="33"/>
  <c r="K16" i="33"/>
  <c r="G16" i="33"/>
  <c r="H16" i="33"/>
  <c r="D16" i="33"/>
  <c r="I16" i="33"/>
  <c r="E16" i="33"/>
  <c r="B16" i="33"/>
  <c r="R16" i="33"/>
  <c r="S48" i="18" l="1"/>
  <c r="S49" i="18" s="1"/>
  <c r="S50" i="18" s="1"/>
  <c r="S51" i="18" s="1"/>
  <c r="S52" i="18" s="1"/>
  <c r="S53" i="18" s="1"/>
  <c r="S54" i="18" s="1"/>
  <c r="S55" i="18" s="1"/>
  <c r="S56"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7" i="18" l="1"/>
  <c r="S58" i="18" s="1"/>
  <c r="S59"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60" i="18" l="1"/>
  <c r="S61" i="18" s="1"/>
  <c r="S62" i="18" s="1"/>
  <c r="S63"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4" i="18" l="1"/>
  <c r="S65" i="18" s="1"/>
  <c r="S66" i="18" s="1"/>
  <c r="S67" i="18" s="1"/>
  <c r="AL79" i="18"/>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0" i="18" l="1"/>
  <c r="N108" i="18" s="1"/>
  <c r="R161" i="18"/>
  <c r="R177" i="18" s="1"/>
  <c r="AJ256" i="18"/>
  <c r="AJ257" i="18" s="1"/>
  <c r="G305" i="20"/>
  <c r="I306" i="20"/>
  <c r="K306" i="20"/>
  <c r="J306" i="20"/>
  <c r="AL74" i="18"/>
  <c r="AM75" i="18"/>
  <c r="T430" i="18" l="1"/>
  <c r="V433" i="18" s="1"/>
  <c r="U443" i="18"/>
  <c r="V443" i="18" s="1"/>
  <c r="G304" i="20"/>
  <c r="I305" i="20"/>
  <c r="K305" i="20"/>
  <c r="J305" i="20"/>
  <c r="AL73" i="18"/>
  <c r="AM74" i="18"/>
  <c r="R99" i="18"/>
  <c r="V136" i="18" l="1"/>
  <c r="V135" i="18"/>
  <c r="V62" i="18"/>
  <c r="V70" i="18"/>
  <c r="V60" i="18"/>
  <c r="V61" i="18"/>
  <c r="V69" i="18"/>
  <c r="V59" i="18"/>
  <c r="V58" i="18"/>
  <c r="V57" i="18"/>
  <c r="V53" i="18"/>
  <c r="V54" i="18"/>
  <c r="V55" i="18"/>
  <c r="V56" i="18"/>
  <c r="V51" i="18"/>
  <c r="V52" i="18"/>
  <c r="V50" i="18"/>
  <c r="V47" i="18"/>
  <c r="V48" i="18"/>
  <c r="V49" i="18"/>
  <c r="V92" i="18"/>
  <c r="W146" i="18"/>
  <c r="V91" i="18"/>
  <c r="V90" i="18"/>
  <c r="V46" i="18"/>
  <c r="V45" i="18"/>
  <c r="V44" i="18"/>
  <c r="V43" i="18"/>
  <c r="X43" i="18" s="1"/>
  <c r="V89" i="18"/>
  <c r="V42" i="18"/>
  <c r="W42" i="18" s="1"/>
  <c r="V41" i="18"/>
  <c r="X41" i="18" s="1"/>
  <c r="V88" i="18"/>
  <c r="V87" i="18"/>
  <c r="W87" i="18" s="1"/>
  <c r="V40" i="18"/>
  <c r="V39" i="18"/>
  <c r="V38" i="18"/>
  <c r="V36" i="18"/>
  <c r="V37" i="18"/>
  <c r="V35" i="18"/>
  <c r="W35" i="18" s="1"/>
  <c r="V33" i="18"/>
  <c r="V34" i="18"/>
  <c r="V32" i="18"/>
  <c r="X32" i="18" s="1"/>
  <c r="V86" i="18"/>
  <c r="X86" i="18" s="1"/>
  <c r="V85" i="18"/>
  <c r="W85" i="18" s="1"/>
  <c r="V94" i="18"/>
  <c r="V31" i="18"/>
  <c r="W148" i="18"/>
  <c r="V103" i="18"/>
  <c r="V84" i="18"/>
  <c r="W84" i="18" s="1"/>
  <c r="V30" i="18"/>
  <c r="V29" i="18"/>
  <c r="V28" i="18"/>
  <c r="W28" i="18" s="1"/>
  <c r="V83" i="18"/>
  <c r="V82" i="18"/>
  <c r="V27" i="18"/>
  <c r="G303" i="20"/>
  <c r="K304" i="20"/>
  <c r="I304" i="20"/>
  <c r="J304" i="20"/>
  <c r="V26" i="18"/>
  <c r="W26" i="18" s="1"/>
  <c r="V81" i="18"/>
  <c r="V25" i="18"/>
  <c r="V24" i="18"/>
  <c r="W24" i="18" s="1"/>
  <c r="V80" i="18"/>
  <c r="V23" i="18"/>
  <c r="X23" i="18" s="1"/>
  <c r="V79" i="18"/>
  <c r="V78" i="18"/>
  <c r="V77" i="18"/>
  <c r="V22" i="18"/>
  <c r="V21" i="18"/>
  <c r="V20" i="18"/>
  <c r="AL72" i="18"/>
  <c r="AM73" i="18"/>
  <c r="W135" i="18" l="1"/>
  <c r="X135" i="18"/>
  <c r="W136" i="18"/>
  <c r="X136" i="18"/>
  <c r="W62" i="18"/>
  <c r="X62" i="18"/>
  <c r="X69" i="18"/>
  <c r="W69" i="18"/>
  <c r="W61" i="18"/>
  <c r="X61" i="18"/>
  <c r="W60" i="18"/>
  <c r="X60" i="18"/>
  <c r="W70" i="18"/>
  <c r="X70" i="18"/>
  <c r="X59" i="18"/>
  <c r="W59" i="18"/>
  <c r="W57" i="18"/>
  <c r="X57" i="18"/>
  <c r="X58" i="18"/>
  <c r="W58" i="18"/>
  <c r="W56" i="18"/>
  <c r="X56" i="18"/>
  <c r="W54" i="18"/>
  <c r="X54" i="18"/>
  <c r="W55" i="18"/>
  <c r="X55" i="18"/>
  <c r="W53" i="18"/>
  <c r="X53" i="18"/>
  <c r="W52" i="18"/>
  <c r="X52" i="18"/>
  <c r="W51" i="18"/>
  <c r="X51" i="18"/>
  <c r="W47" i="18"/>
  <c r="X47" i="18"/>
  <c r="W50" i="18"/>
  <c r="X50" i="18"/>
  <c r="W49" i="18"/>
  <c r="X49" i="18"/>
  <c r="X48" i="18"/>
  <c r="W48" i="18"/>
  <c r="W92" i="18"/>
  <c r="X92" i="18"/>
  <c r="W90" i="18"/>
  <c r="X90" i="18"/>
  <c r="W91" i="18"/>
  <c r="X91" i="18"/>
  <c r="W46" i="18"/>
  <c r="X46" i="18"/>
  <c r="W45" i="18"/>
  <c r="X45" i="18"/>
  <c r="W44" i="18"/>
  <c r="X44" i="18"/>
  <c r="W43" i="18"/>
  <c r="W89" i="18"/>
  <c r="X89" i="18"/>
  <c r="X42" i="18"/>
  <c r="W41" i="18"/>
  <c r="X88" i="18"/>
  <c r="W88" i="18"/>
  <c r="X87" i="18"/>
  <c r="W40" i="18"/>
  <c r="X40" i="18"/>
  <c r="X39" i="18"/>
  <c r="W39" i="18"/>
  <c r="W38" i="18"/>
  <c r="X38" i="18"/>
  <c r="W37" i="18"/>
  <c r="X37" i="18"/>
  <c r="W36" i="18"/>
  <c r="X36" i="18"/>
  <c r="X35" i="18"/>
  <c r="X34" i="18"/>
  <c r="W34" i="18"/>
  <c r="W33" i="18"/>
  <c r="X33" i="18"/>
  <c r="W32" i="18"/>
  <c r="W86" i="18"/>
  <c r="X85" i="18"/>
  <c r="W94" i="18"/>
  <c r="X94" i="18"/>
  <c r="W31" i="18"/>
  <c r="X31" i="18"/>
  <c r="X84" i="18"/>
  <c r="X30" i="18"/>
  <c r="W30" i="18"/>
  <c r="W29" i="18"/>
  <c r="X29" i="18"/>
  <c r="X28" i="18"/>
  <c r="W83" i="18"/>
  <c r="X83" i="18"/>
  <c r="W82" i="18"/>
  <c r="X82" i="18"/>
  <c r="W27" i="18"/>
  <c r="X27" i="18"/>
  <c r="W147" i="18"/>
  <c r="G302" i="20"/>
  <c r="K303" i="20"/>
  <c r="I303" i="20"/>
  <c r="J303" i="20"/>
  <c r="X26" i="18"/>
  <c r="W81" i="18"/>
  <c r="X81" i="18"/>
  <c r="W25" i="18"/>
  <c r="X25" i="18"/>
  <c r="X24" i="18"/>
  <c r="W80" i="18"/>
  <c r="X80" i="18"/>
  <c r="W23" i="18"/>
  <c r="W79" i="18"/>
  <c r="X79" i="18"/>
  <c r="W78" i="18"/>
  <c r="X78" i="18"/>
  <c r="N31" i="18"/>
  <c r="W145" i="18"/>
  <c r="W154" i="18" s="1"/>
  <c r="X77" i="18"/>
  <c r="W77" i="18"/>
  <c r="W22" i="18"/>
  <c r="X22" i="18"/>
  <c r="W20" i="18"/>
  <c r="X20" i="18"/>
  <c r="W103" i="18"/>
  <c r="X103" i="18"/>
  <c r="W21" i="18"/>
  <c r="X21" i="18"/>
  <c r="AL71" i="18"/>
  <c r="AM72" i="18"/>
  <c r="G168" i="18" l="1"/>
  <c r="I168" i="18"/>
  <c r="I169" i="18"/>
  <c r="G169" i="18"/>
  <c r="N55" i="18"/>
  <c r="L21" i="18"/>
  <c r="W155" i="18"/>
  <c r="G301" i="20"/>
  <c r="I302" i="20"/>
  <c r="K302" i="20"/>
  <c r="J302" i="20"/>
  <c r="AL70" i="18"/>
  <c r="AM71" i="18"/>
  <c r="G170" i="18" l="1"/>
  <c r="I17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5" i="18" l="1"/>
  <c r="S106"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4" i="18" l="1"/>
  <c r="W104"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4"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7" i="18" l="1"/>
  <c r="V105" i="18"/>
  <c r="G189" i="20"/>
  <c r="K190" i="20"/>
  <c r="I190" i="20"/>
  <c r="J190" i="20"/>
  <c r="S108" i="18" l="1"/>
  <c r="X105" i="18"/>
  <c r="W105"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6" i="18" l="1"/>
  <c r="G186" i="20"/>
  <c r="K187" i="20"/>
  <c r="J187" i="20"/>
  <c r="I187" i="20"/>
  <c r="D141" i="20"/>
  <c r="W106" i="18" l="1"/>
  <c r="X106" i="18"/>
  <c r="G185" i="20"/>
  <c r="I186" i="20"/>
  <c r="J186" i="20"/>
  <c r="K186" i="20"/>
  <c r="F2" i="16"/>
  <c r="G2" i="16" s="1"/>
  <c r="G85" i="16" s="1"/>
  <c r="G184" i="20" l="1"/>
  <c r="I185" i="20"/>
  <c r="J185" i="20"/>
  <c r="K185" i="20"/>
  <c r="F185" i="15"/>
  <c r="D140" i="20"/>
  <c r="S109" i="18" l="1"/>
  <c r="V107"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7" i="18" l="1"/>
  <c r="X107" i="18"/>
  <c r="I183" i="20"/>
  <c r="G182" i="20"/>
  <c r="K183" i="20"/>
  <c r="J183" i="20"/>
  <c r="F183" i="15"/>
  <c r="G43" i="10"/>
  <c r="K182" i="20" l="1"/>
  <c r="I182" i="20"/>
  <c r="J182" i="20"/>
  <c r="G181" i="20"/>
  <c r="D138" i="20"/>
  <c r="V108" i="18" l="1"/>
  <c r="G180" i="20"/>
  <c r="I181" i="20"/>
  <c r="K181" i="20"/>
  <c r="J181" i="20"/>
  <c r="G42" i="10"/>
  <c r="W108" i="18" l="1"/>
  <c r="X108" i="18"/>
  <c r="I180" i="20"/>
  <c r="G179" i="20"/>
  <c r="J180" i="20"/>
  <c r="K180" i="20"/>
  <c r="E167" i="15"/>
  <c r="E168" i="15"/>
  <c r="E169" i="15"/>
  <c r="E170" i="15"/>
  <c r="E171" i="15"/>
  <c r="E172" i="15"/>
  <c r="E173" i="15"/>
  <c r="E174" i="15"/>
  <c r="E175" i="15"/>
  <c r="E176" i="15"/>
  <c r="E177" i="15"/>
  <c r="E178" i="15"/>
  <c r="E179" i="15"/>
  <c r="E180" i="15"/>
  <c r="E181" i="15"/>
  <c r="E182" i="15"/>
  <c r="S110"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9" i="18" l="1"/>
  <c r="X109" i="18" s="1"/>
  <c r="J176" i="20"/>
  <c r="G175" i="20"/>
  <c r="I176" i="20"/>
  <c r="K176" i="20"/>
  <c r="D135" i="20"/>
  <c r="D134" i="20"/>
  <c r="W109"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0" i="18" l="1"/>
  <c r="X110" i="18" s="1"/>
  <c r="S111" i="18"/>
  <c r="S112" i="18" s="1"/>
  <c r="G170" i="20"/>
  <c r="K171" i="20"/>
  <c r="I171" i="20"/>
  <c r="J171" i="20"/>
  <c r="F166" i="15"/>
  <c r="F165" i="15"/>
  <c r="F164" i="15"/>
  <c r="F163" i="15"/>
  <c r="F162" i="15"/>
  <c r="F161" i="15"/>
  <c r="F160" i="15"/>
  <c r="F159" i="15"/>
  <c r="F158" i="15"/>
  <c r="S113" i="18" l="1"/>
  <c r="S114" i="18" s="1"/>
  <c r="S115" i="18" s="1"/>
  <c r="S116" i="18" s="1"/>
  <c r="W110" i="18"/>
  <c r="V111" i="18"/>
  <c r="I170" i="20"/>
  <c r="G169" i="20"/>
  <c r="J170" i="20"/>
  <c r="K170" i="20"/>
  <c r="D132" i="20"/>
  <c r="D131" i="20"/>
  <c r="V112" i="18" l="1"/>
  <c r="W111" i="18"/>
  <c r="X111" i="18"/>
  <c r="I169" i="20"/>
  <c r="K169" i="20"/>
  <c r="J169" i="20"/>
  <c r="G168" i="20"/>
  <c r="E3" i="18"/>
  <c r="D4" i="18"/>
  <c r="E100" i="18"/>
  <c r="N6" i="18" s="1"/>
  <c r="N10" i="18" s="1"/>
  <c r="V113" i="18" l="1"/>
  <c r="W112" i="18"/>
  <c r="X112" i="18"/>
  <c r="J168" i="20"/>
  <c r="K168" i="20"/>
  <c r="I168" i="20"/>
  <c r="G167" i="20"/>
  <c r="N11" i="18"/>
  <c r="G38" i="10"/>
  <c r="D129" i="20"/>
  <c r="W113" i="18" l="1"/>
  <c r="X113"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4" i="18" l="1"/>
  <c r="G163" i="20"/>
  <c r="J164" i="20"/>
  <c r="K164" i="20"/>
  <c r="I164" i="20"/>
  <c r="D42" i="25"/>
  <c r="W114" i="18" l="1"/>
  <c r="X114"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15" i="18" l="1"/>
  <c r="W115" i="18" s="1"/>
  <c r="G147" i="20"/>
  <c r="J148" i="20"/>
  <c r="K148" i="20"/>
  <c r="I148" i="20"/>
  <c r="H120" i="20"/>
  <c r="X115"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1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16" i="18" l="1"/>
  <c r="K136" i="20"/>
  <c r="J136" i="20"/>
  <c r="I136" i="20"/>
  <c r="G135" i="20"/>
  <c r="G55" i="13"/>
  <c r="W116" i="18" l="1"/>
  <c r="X11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1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17" i="18" l="1"/>
  <c r="G101" i="20"/>
  <c r="I102" i="20"/>
  <c r="J102" i="20"/>
  <c r="K102" i="20"/>
  <c r="E13" i="18"/>
  <c r="G12" i="18"/>
  <c r="E21" i="13"/>
  <c r="G22" i="13"/>
  <c r="F96" i="15"/>
  <c r="C32" i="18"/>
  <c r="E7" i="14"/>
  <c r="G8" i="14"/>
  <c r="I5" i="6"/>
  <c r="W117" i="18" l="1"/>
  <c r="X11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9" i="18" l="1"/>
  <c r="B24" i="26"/>
  <c r="B2" i="27" s="1"/>
  <c r="G2" i="26"/>
  <c r="G25" i="26" s="1"/>
  <c r="G84" i="20"/>
  <c r="J85" i="20"/>
  <c r="I85" i="20"/>
  <c r="K85" i="20"/>
  <c r="E48" i="18"/>
  <c r="I2" i="22"/>
  <c r="I25" i="22" s="1"/>
  <c r="I30" i="22" s="1"/>
  <c r="D24" i="22"/>
  <c r="C24" i="23"/>
  <c r="C2" i="24" s="1"/>
  <c r="H2" i="23"/>
  <c r="D2" i="23"/>
  <c r="G5" i="13"/>
  <c r="E4" i="13"/>
  <c r="F79" i="15"/>
  <c r="C49" i="18"/>
  <c r="S120" i="18" l="1"/>
  <c r="S121" i="18" s="1"/>
  <c r="S122" i="18" s="1"/>
  <c r="V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2" i="18" l="1"/>
  <c r="X122" i="18" s="1"/>
  <c r="S123" i="18"/>
  <c r="S124" i="18" s="1"/>
  <c r="W118" i="18"/>
  <c r="X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2" i="18" l="1"/>
  <c r="V119" i="18"/>
  <c r="G2" i="29"/>
  <c r="G25" i="29" s="1"/>
  <c r="B24" i="29"/>
  <c r="B2" i="30" s="1"/>
  <c r="I2" i="25"/>
  <c r="I25" i="25" s="1"/>
  <c r="I30" i="25" s="1"/>
  <c r="D24" i="25"/>
  <c r="C24" i="26"/>
  <c r="C2" i="27" s="1"/>
  <c r="H2" i="26"/>
  <c r="H25" i="26" s="1"/>
  <c r="H30" i="26" s="1"/>
  <c r="D2" i="26"/>
  <c r="G81" i="20"/>
  <c r="K82" i="20"/>
  <c r="I82" i="20"/>
  <c r="J82" i="20"/>
  <c r="F76" i="15"/>
  <c r="C52" i="18"/>
  <c r="E51" i="18"/>
  <c r="W119" i="18" l="1"/>
  <c r="X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0" i="18" l="1"/>
  <c r="I2" i="48"/>
  <c r="I28" i="48" s="1"/>
  <c r="I33" i="48" s="1"/>
  <c r="D27" i="48"/>
  <c r="B32" i="55"/>
  <c r="B2" i="57" s="1"/>
  <c r="G2" i="55"/>
  <c r="G33" i="55" s="1"/>
  <c r="C27" i="50"/>
  <c r="C2" i="51" s="1"/>
  <c r="H2" i="50"/>
  <c r="H28" i="50" s="1"/>
  <c r="H33" i="50" s="1"/>
  <c r="D2" i="50"/>
  <c r="G68" i="20"/>
  <c r="I69" i="20"/>
  <c r="J69" i="20"/>
  <c r="K69" i="20"/>
  <c r="F63" i="15"/>
  <c r="X120" i="18" l="1"/>
  <c r="W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1" i="18" l="1"/>
  <c r="W121" i="18" s="1"/>
  <c r="H2" i="58"/>
  <c r="H35" i="58" s="1"/>
  <c r="H40" i="58" s="1"/>
  <c r="C34" i="58"/>
  <c r="D2" i="58"/>
  <c r="I2" i="57"/>
  <c r="I35" i="57" s="1"/>
  <c r="I40" i="57" s="1"/>
  <c r="D34" i="57"/>
  <c r="G63" i="20"/>
  <c r="K64" i="20"/>
  <c r="J64" i="20"/>
  <c r="I64" i="20"/>
  <c r="F58" i="15"/>
  <c r="X121" i="18" l="1"/>
  <c r="I2" i="58"/>
  <c r="I35" i="58" s="1"/>
  <c r="I40" i="58" s="1"/>
  <c r="D34" i="58"/>
  <c r="G62" i="20"/>
  <c r="J63" i="20"/>
  <c r="I63" i="20"/>
  <c r="K63" i="20"/>
  <c r="F57" i="15"/>
  <c r="V123" i="18" l="1"/>
  <c r="W123" i="18" s="1"/>
  <c r="G61" i="20"/>
  <c r="K62" i="20"/>
  <c r="I62" i="20"/>
  <c r="J62" i="20"/>
  <c r="F56" i="15"/>
  <c r="X123" i="18" l="1"/>
  <c r="G60" i="20"/>
  <c r="I61" i="20"/>
  <c r="J61" i="20"/>
  <c r="K61" i="20"/>
  <c r="F55" i="15"/>
  <c r="S125" i="18" l="1"/>
  <c r="V124" i="18"/>
  <c r="G59" i="20"/>
  <c r="J60" i="20"/>
  <c r="I60" i="20"/>
  <c r="K60" i="20"/>
  <c r="F54" i="15"/>
  <c r="S126" i="18" l="1"/>
  <c r="S127" i="18" s="1"/>
  <c r="S128" i="18" s="1"/>
  <c r="S129" i="18" s="1"/>
  <c r="S130" i="18" s="1"/>
  <c r="V125" i="18"/>
  <c r="W125" i="18" s="1"/>
  <c r="W124" i="18"/>
  <c r="X124" i="18"/>
  <c r="G58" i="20"/>
  <c r="J59" i="20"/>
  <c r="I59" i="20"/>
  <c r="K59" i="20"/>
  <c r="F53" i="15"/>
  <c r="S131" i="18" l="1"/>
  <c r="S132" i="18" s="1"/>
  <c r="S133" i="18" s="1"/>
  <c r="X125" i="18"/>
  <c r="G57" i="20"/>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<sst xmlns="http://schemas.openxmlformats.org/spreadsheetml/2006/main" count="14449" uniqueCount="5804">
  <si>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</si>
  <si>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</si>
  <si>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</si>
  <si>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</si>
  <si>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</si>
  <si>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</si>
  <si>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</si>
  <si>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</si>
  <si>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</si>
  <si>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</si>
  <si>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</si>
  <si>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</si>
  <si>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</si>
  <si>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</si>
  <si>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</si>
  <si>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</si>
  <si>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</si>
  <si>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</si>
  <si>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</si>
  <si>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</si>
  <si>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</si>
  <si>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</si>
  <si>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</si>
  <si>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</si>
  <si>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</si>
  <si>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</si>
  <si>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</si>
  <si>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</si>
  <si>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</si>
  <si>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</si>
  <si>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</si>
  <si>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</si>
  <si>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</si>
  <si>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</si>
  <si>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</si>
  <si>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</si>
  <si>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</si>
  <si>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</si>
  <si>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</si>
  <si>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</si>
  <si>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</si>
  <si>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</si>
  <si>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</si>
  <si>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</si>
  <si>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</si>
  <si>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</si>
  <si>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</si>
  <si>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</si>
  <si>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</si>
  <si>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</si>
  <si>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</si>
  <si>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</si>
  <si>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</si>
  <si>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</si>
  <si>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</si>
  <si>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</si>
  <si>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</si>
  <si>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</si>
  <si>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</si>
  <si>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</si>
  <si>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</si>
  <si>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</si>
  <si>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</si>
  <si>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</si>
  <si>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</si>
  <si>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</si>
  <si>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</si>
  <si>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</si>
  <si>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</si>
  <si>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</si>
  <si>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</si>
  <si>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</si>
  <si>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</si>
  <si>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</si>
  <si>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</si>
  <si>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</si>
  <si>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</si>
  <si>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</si>
  <si>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</si>
  <si>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</si>
  <si>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</si>
  <si>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</si>
  <si>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</si>
  <si>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</si>
  <si>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</si>
  <si>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</si>
  <si>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</si>
  <si>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</si>
  <si>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</si>
  <si>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</si>
  <si>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</si>
  <si>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</si>
  <si>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</si>
  <si>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</si>
  <si>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</si>
  <si>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</si>
  <si>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</si>
  <si>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</si>
  <si>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</si>
  <si>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</si>
  <si>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</si>
  <si>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</si>
  <si>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</si>
  <si>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</si>
  <si>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</si>
  <si>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</si>
  <si>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</si>
  <si>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</si>
  <si>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</si>
  <si>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</si>
  <si>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</si>
  <si>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</si>
  <si>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</si>
  <si>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</si>
  <si>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</si>
  <si>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</si>
  <si>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</si>
  <si>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</si>
  <si>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</si>
  <si>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</si>
  <si>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</si>
  <si>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</si>
  <si>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</si>
  <si>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</si>
  <si>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</si>
  <si>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</si>
  <si>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</si>
  <si>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</si>
  <si>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</si>
  <si>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</si>
  <si>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</si>
  <si>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</si>
  <si>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</si>
  <si>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</si>
  <si>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</si>
  <si>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</si>
  <si>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</si>
  <si>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</si>
  <si>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</si>
  <si>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</si>
  <si>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</si>
  <si>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</si>
  <si>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</si>
  <si>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</si>
  <si>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</si>
  <si>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</si>
  <si>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</si>
  <si>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</si>
  <si>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</si>
  <si>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</si>
  <si>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</si>
  <si>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</si>
  <si>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</si>
  <si>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</si>
  <si>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</si>
  <si>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</si>
  <si>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</si>
  <si>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</si>
  <si>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</si>
  <si>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</si>
  <si>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</si>
  <si>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</si>
  <si>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</si>
  <si>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</si>
  <si>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</si>
  <si>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</si>
  <si>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</si>
  <si>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</si>
  <si>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</si>
  <si>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</si>
  <si>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</si>
  <si>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</si>
  <si>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</si>
  <si>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</si>
  <si>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</si>
  <si>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</si>
  <si>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</si>
  <si>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</si>
  <si>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</si>
  <si>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</si>
  <si>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</si>
  <si>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</si>
  <si>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</si>
  <si>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</si>
  <si>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</si>
  <si>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</si>
  <si>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</si>
  <si>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</si>
  <si>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</si>
  <si>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</si>
  <si>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</si>
  <si>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</si>
  <si>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</si>
  <si>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</si>
  <si>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</si>
  <si>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</si>
  <si>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</si>
  <si>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</si>
  <si>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</si>
  <si>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</si>
  <si>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</si>
  <si>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</si>
  <si>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</si>
  <si>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</si>
  <si>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</si>
  <si>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</si>
  <si>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</si>
  <si>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</si>
  <si>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</si>
  <si>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</si>
  <si>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</si>
  <si>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</si>
  <si>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</si>
  <si>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</si>
  <si>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</si>
  <si>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</si>
  <si>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</si>
  <si>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</si>
  <si>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</si>
  <si>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</si>
  <si>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</si>
  <si>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</si>
  <si>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</si>
  <si>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</si>
  <si>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</si>
  <si>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</si>
  <si>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</si>
  <si>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</si>
  <si>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</si>
  <si>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</si>
  <si>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</si>
  <si>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</si>
  <si>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</si>
  <si>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</si>
  <si>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</si>
  <si>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</si>
  <si>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</si>
  <si>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</si>
  <si>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</si>
  <si>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</si>
  <si>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</si>
  <si>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</si>
  <si>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</si>
  <si>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</si>
  <si>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</si>
  <si>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</si>
  <si>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</si>
  <si>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</si>
  <si>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</si>
  <si>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</si>
  <si>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</si>
  <si>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</si>
  <si>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</si>
  <si>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</si>
  <si>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</si>
  <si>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</si>
  <si>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</si>
  <si>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</si>
  <si>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</si>
  <si>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</si>
  <si>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</si>
  <si>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</si>
  <si>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</si>
  <si>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</si>
  <si>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</si>
  <si>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</si>
  <si>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</si>
  <si>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</si>
  <si>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</si>
  <si>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</si>
  <si>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</si>
  <si>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</si>
  <si>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</si>
  <si>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</si>
  <si>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</si>
  <si>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</si>
  <si>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</si>
  <si>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</si>
  <si>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</si>
  <si>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</si>
  <si>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</si>
  <si>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</si>
  <si>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</si>
  <si>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</si>
  <si>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</si>
  <si>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</si>
  <si>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</si>
  <si>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</si>
  <si>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</si>
  <si>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</si>
  <si>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</si>
  <si>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</si>
  <si>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</si>
  <si>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</si>
  <si>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</si>
  <si>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</si>
  <si>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</si>
  <si>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</si>
  <si>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</si>
  <si>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</si>
  <si>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</si>
  <si>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</si>
  <si>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</si>
  <si>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</si>
  <si>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</si>
  <si>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</si>
  <si>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</si>
  <si>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</si>
  <si>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</si>
  <si>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</si>
  <si>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</si>
  <si>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</si>
  <si>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</si>
  <si>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</si>
  <si>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</si>
  <si>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</si>
  <si>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</si>
  <si>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</si>
  <si>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</si>
  <si>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</si>
  <si>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</si>
  <si>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</si>
  <si>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</si>
  <si>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</si>
  <si>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</si>
  <si>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</si>
  <si>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</si>
  <si>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</si>
  <si>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</si>
  <si>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</si>
  <si>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</si>
  <si>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</si>
  <si>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</si>
  <si>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</si>
  <si>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</si>
  <si>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</si>
  <si>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</si>
  <si>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</si>
  <si>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</si>
  <si>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</si>
  <si>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</si>
  <si>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</si>
  <si>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</si>
  <si>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</si>
  <si>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</si>
  <si>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</si>
  <si>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</si>
  <si>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</si>
  <si>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</si>
  <si>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</si>
  <si>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</si>
  <si>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</si>
  <si>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</si>
  <si>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</si>
  <si>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</si>
  <si>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</si>
  <si>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</si>
  <si>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</si>
  <si>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</si>
  <si>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</si>
  <si>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</si>
  <si>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</si>
  <si>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</si>
  <si>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</si>
  <si>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</si>
  <si>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</si>
  <si>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</si>
  <si>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</si>
  <si>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</si>
  <si>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</si>
  <si>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</si>
  <si>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</si>
  <si>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</si>
  <si>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</si>
  <si>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</si>
  <si>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</si>
  <si>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</si>
  <si>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</si>
  <si>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</si>
  <si>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</si>
  <si>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</si>
  <si>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</si>
  <si>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</si>
  <si>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</si>
  <si>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</si>
  <si>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</si>
  <si>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</si>
  <si>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</si>
  <si>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</si>
  <si>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</si>
  <si>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</si>
  <si>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</si>
  <si>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</si>
  <si>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</si>
  <si>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</si>
  <si>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</si>
  <si>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</si>
  <si>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</si>
  <si>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</si>
  <si>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</si>
  <si>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</si>
  <si>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</si>
  <si>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</si>
  <si>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</si>
  <si>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</si>
  <si>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</si>
  <si>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</si>
  <si>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</si>
  <si>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</si>
  <si>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</si>
  <si>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</si>
  <si>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</si>
  <si>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</si>
  <si>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</si>
  <si>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</si>
  <si>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</si>
  <si>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</si>
  <si>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</si>
  <si>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</si>
  <si>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</si>
  <si>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</si>
  <si>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</si>
  <si>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</si>
  <si>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</si>
  <si>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</si>
  <si>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</si>
  <si>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</si>
  <si>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</si>
  <si>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</si>
  <si>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</si>
  <si>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</si>
  <si>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</si>
  <si>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</si>
  <si>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</si>
  <si>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</si>
  <si>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</si>
  <si>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</si>
  <si>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</si>
  <si>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</si>
  <si>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</si>
  <si>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</si>
  <si>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</si>
  <si>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</si>
  <si>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</si>
  <si>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</si>
  <si>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</si>
  <si>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</si>
  <si>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</si>
  <si>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</si>
  <si>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</si>
  <si>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</si>
  <si>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</si>
  <si>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</si>
  <si>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</si>
  <si>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</si>
  <si>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</si>
  <si>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</si>
  <si>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</si>
  <si>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</si>
  <si>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</si>
  <si>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</si>
  <si>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</si>
  <si>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</si>
  <si>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</si>
  <si>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</si>
  <si>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</si>
  <si>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</si>
  <si>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</si>
  <si>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</si>
  <si>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</si>
  <si>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</si>
  <si>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</si>
  <si>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</si>
  <si>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</si>
  <si>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</si>
  <si>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</si>
  <si>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</si>
  <si>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</si>
  <si>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</si>
  <si>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</si>
  <si>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</si>
  <si>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</si>
  <si>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</si>
  <si>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</si>
  <si>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</si>
  <si>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</si>
  <si>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</si>
  <si>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</si>
  <si>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</si>
  <si>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</si>
  <si>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</si>
  <si>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</si>
  <si>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</si>
  <si>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</si>
  <si>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</si>
  <si>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</si>
  <si>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</si>
  <si>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</si>
  <si>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</si>
  <si>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</si>
  <si>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</si>
  <si>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</si>
  <si>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</si>
  <si>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</si>
  <si>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</si>
  <si>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</si>
  <si>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</si>
  <si>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</si>
  <si>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</si>
  <si>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</si>
  <si>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</si>
  <si>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</si>
  <si>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</si>
  <si>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</si>
  <si>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</si>
  <si>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</si>
  <si>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</si>
  <si>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</si>
  <si>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</si>
  <si>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</si>
  <si>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</si>
  <si>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</si>
  <si>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</si>
  <si>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</si>
  <si>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</si>
  <si>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</si>
  <si>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</si>
  <si>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</si>
  <si>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</si>
  <si>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</si>
  <si>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</si>
  <si>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</si>
  <si>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</si>
  <si>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</si>
  <si>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</si>
  <si>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</si>
  <si>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</si>
  <si>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</si>
  <si>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</si>
  <si>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</si>
  <si>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</si>
  <si>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</si>
  <si>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</si>
  <si>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</si>
  <si>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</si>
  <si>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</si>
  <si>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</si>
  <si>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</si>
  <si>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</si>
  <si>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</si>
  <si>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</si>
  <si>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</si>
  <si>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</si>
  <si>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</si>
  <si>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</si>
  <si>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</si>
  <si>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</si>
  <si>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</si>
  <si>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</si>
  <si>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</si>
  <si>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</si>
  <si>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</si>
  <si>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</si>
  <si>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</si>
  <si>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</si>
  <si>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</si>
  <si>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</si>
  <si>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</si>
  <si>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</si>
  <si>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</si>
  <si>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</si>
  <si>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</si>
  <si>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</si>
  <si>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</si>
  <si>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</si>
  <si>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</si>
  <si>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</si>
  <si>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</si>
  <si>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</si>
  <si>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</si>
  <si>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</si>
  <si>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</si>
  <si>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</si>
  <si>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</si>
  <si>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</si>
  <si>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</si>
  <si>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</si>
  <si>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</si>
  <si>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</si>
  <si>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</si>
  <si>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</si>
  <si>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</si>
  <si>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</si>
  <si>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</si>
  <si>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</si>
  <si>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</si>
  <si>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</si>
  <si>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</si>
  <si>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</si>
  <si>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</si>
  <si>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</si>
  <si>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</si>
  <si>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</si>
  <si>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</si>
  <si>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</si>
  <si>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</si>
  <si>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</si>
  <si>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</si>
  <si>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</si>
  <si>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</si>
  <si>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</si>
  <si>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</si>
  <si>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</si>
  <si>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</si>
  <si>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</si>
  <si>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</si>
  <si>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</si>
  <si>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</si>
  <si>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</si>
  <si>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</si>
  <si>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</si>
  <si>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</si>
  <si>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</si>
  <si>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</si>
  <si>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</si>
  <si>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</si>
  <si>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</si>
  <si>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</si>
  <si>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</si>
  <si>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</si>
  <si>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</si>
  <si>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</si>
  <si>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</si>
  <si>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</si>
  <si>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</si>
  <si>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</si>
  <si>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</si>
  <si>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</si>
  <si>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</si>
  <si>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</si>
  <si>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</si>
  <si>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</si>
  <si>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</si>
  <si>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</si>
  <si>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</si>
  <si>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</si>
  <si>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</si>
  <si>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</si>
  <si>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</si>
  <si>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</si>
  <si>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</si>
  <si>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</si>
  <si>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</si>
  <si>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</si>
  <si>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</si>
  <si>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</si>
  <si>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</si>
  <si>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</si>
  <si>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</si>
  <si>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</si>
  <si>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</si>
  <si>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</si>
  <si>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</si>
  <si>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</si>
  <si>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</si>
  <si>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</si>
  <si>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</si>
  <si>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</si>
  <si>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</si>
  <si>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</si>
  <si>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</si>
  <si>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</si>
  <si>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</si>
  <si>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</si>
  <si>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</si>
  <si>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</si>
  <si>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</si>
  <si>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</si>
  <si>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</si>
  <si>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</si>
  <si>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</si>
  <si>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</si>
  <si>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</si>
  <si>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</si>
  <si>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</si>
  <si>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</si>
  <si>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</si>
  <si>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</si>
  <si>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</si>
  <si>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</si>
  <si>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</si>
  <si>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</si>
  <si>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</si>
  <si>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</si>
  <si>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</si>
  <si>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</si>
  <si>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</si>
  <si>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</si>
  <si>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</si>
  <si>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</si>
  <si>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</si>
  <si>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</si>
  <si>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</si>
  <si>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</si>
  <si>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</si>
  <si>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</si>
  <si>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</si>
  <si>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</si>
  <si>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</si>
  <si>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</si>
  <si>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</si>
  <si>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</si>
  <si>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</si>
  <si>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</si>
  <si>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</si>
  <si>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</si>
  <si>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</si>
  <si>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</si>
  <si>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</si>
  <si>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</si>
  <si>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</si>
  <si>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</si>
  <si>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</si>
  <si>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</si>
  <si>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</si>
  <si>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</si>
  <si>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</si>
  <si>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</si>
  <si>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</si>
  <si>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</si>
  <si>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</si>
  <si>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</si>
  <si>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</si>
  <si>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</si>
  <si>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</si>
  <si>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</si>
  <si>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</si>
  <si>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</si>
  <si>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</si>
  <si>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</si>
  <si>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</si>
  <si>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</si>
  <si>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</si>
  <si>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</si>
  <si>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</si>
  <si>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</si>
  <si>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</si>
  <si>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</si>
  <si>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</si>
  <si>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</si>
  <si>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</si>
  <si>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</si>
  <si>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</si>
  <si>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</si>
  <si>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</si>
  <si>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</si>
  <si>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</si>
  <si>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</si>
  <si>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</si>
  <si>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</si>
  <si>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</si>
  <si>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</si>
  <si>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</si>
  <si>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</si>
  <si>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</si>
  <si>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</si>
  <si>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</si>
  <si>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</si>
  <si>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</si>
  <si>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</si>
  <si>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</si>
  <si>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</si>
  <si>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</si>
  <si>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</si>
  <si>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</si>
  <si>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</si>
  <si>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</si>
  <si>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</si>
  <si>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</si>
  <si>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</si>
  <si>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</si>
  <si>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</si>
  <si>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</si>
  <si>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</si>
  <si>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</si>
  <si>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</si>
  <si>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</si>
  <si>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</si>
  <si>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</si>
  <si>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</si>
  <si>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</si>
  <si>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</si>
  <si>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</si>
  <si>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</si>
  <si>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</si>
  <si>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</si>
  <si>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</si>
  <si>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</si>
  <si>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</si>
  <si>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</si>
  <si>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</si>
  <si>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</si>
  <si>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</si>
  <si>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</si>
  <si>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</si>
  <si>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</si>
  <si>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</si>
  <si>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</si>
  <si>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</si>
  <si>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</si>
  <si>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</si>
  <si>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</si>
  <si>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</si>
  <si>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</si>
  <si>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</si>
  <si>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</si>
  <si>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</si>
  <si>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</si>
  <si>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</si>
  <si>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</si>
  <si>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</si>
  <si>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</si>
  <si>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</si>
  <si>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</si>
  <si>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</si>
  <si>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</si>
  <si>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</si>
  <si>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</si>
  <si>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</si>
  <si>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</si>
  <si>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</si>
  <si>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</si>
  <si>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</si>
  <si>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</si>
  <si>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</si>
  <si>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</si>
  <si>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</si>
  <si>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</si>
  <si>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</si>
  <si>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</si>
  <si>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</si>
  <si>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</si>
  <si>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</si>
  <si>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</si>
  <si>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</si>
  <si>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</si>
  <si>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</si>
  <si>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</si>
  <si>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</si>
  <si>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</si>
  <si>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</si>
  <si>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</si>
  <si>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</si>
  <si>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</si>
  <si>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</si>
  <si>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</si>
  <si>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</si>
  <si>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</si>
  <si>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</si>
  <si>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</si>
  <si>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</si>
  <si>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</si>
  <si>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</si>
  <si>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</si>
  <si>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</si>
  <si>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</si>
  <si>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</si>
  <si>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</si>
  <si>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</si>
  <si>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</si>
  <si>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</si>
  <si>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</si>
  <si>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</si>
  <si>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</si>
  <si>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</si>
  <si>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</si>
  <si>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</si>
  <si>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</si>
  <si>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</si>
  <si>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</si>
  <si>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</si>
  <si>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</si>
  <si>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</si>
  <si>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</si>
  <si>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</si>
  <si>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</si>
  <si>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</si>
  <si>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</si>
  <si>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</si>
  <si>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</si>
  <si>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</si>
  <si>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</si>
  <si>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</si>
  <si>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</si>
  <si>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</si>
  <si>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</si>
  <si>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</si>
  <si>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</si>
  <si>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</si>
  <si>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</si>
  <si>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</si>
  <si>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</si>
  <si>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</si>
  <si>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</si>
  <si>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</si>
  <si>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</si>
  <si>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</si>
  <si>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</si>
  <si>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</si>
  <si>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</si>
  <si>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</si>
  <si>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</si>
  <si>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</si>
  <si>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</si>
  <si>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</si>
  <si>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</si>
  <si>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</si>
  <si>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</si>
  <si>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</si>
  <si>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</si>
  <si>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</si>
  <si>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</si>
  <si>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</si>
  <si>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</si>
  <si>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</si>
  <si>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</si>
  <si>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</si>
  <si>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</si>
  <si>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</si>
  <si>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</si>
  <si>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</si>
  <si>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</si>
  <si>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</si>
  <si>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</si>
  <si>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</si>
  <si>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</si>
  <si>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</si>
  <si>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</si>
  <si>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</si>
  <si>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</si>
  <si>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</si>
  <si>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</si>
  <si>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</si>
  <si>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</si>
  <si>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</si>
  <si>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</si>
  <si>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</si>
  <si>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</si>
  <si>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</si>
  <si>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</si>
  <si>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</si>
  <si>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</si>
  <si>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</si>
  <si>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</si>
  <si>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</si>
  <si>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</si>
  <si>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</si>
  <si>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</si>
  <si>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</si>
  <si>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</si>
  <si>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</si>
  <si>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</si>
  <si>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</si>
  <si>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</si>
  <si>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</si>
  <si>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</si>
  <si>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</si>
  <si>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</si>
  <si>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</si>
  <si>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</si>
  <si>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</si>
  <si>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</si>
  <si>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</si>
  <si>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</si>
  <si>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</si>
  <si>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</si>
  <si>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</si>
  <si>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</si>
  <si>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</si>
  <si>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</si>
  <si>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</si>
  <si>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</si>
  <si>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</si>
  <si>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</si>
  <si>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</si>
  <si>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</si>
  <si>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</si>
  <si>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</si>
  <si>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</si>
  <si>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</si>
  <si>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</si>
  <si>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</si>
  <si>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</si>
  <si>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</si>
  <si>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</si>
  <si>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</si>
  <si>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</si>
  <si>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</si>
  <si>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</si>
  <si>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</si>
  <si>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</si>
  <si>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</si>
  <si>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</si>
  <si>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</si>
  <si>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</si>
  <si>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</si>
  <si>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</si>
  <si>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</si>
  <si>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</si>
  <si>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</si>
  <si>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</si>
  <si>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</si>
  <si>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</si>
  <si>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</si>
  <si>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</si>
  <si>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</si>
  <si>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</si>
  <si>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</si>
  <si>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</si>
  <si>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</si>
  <si>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</si>
  <si>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</si>
  <si>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</si>
  <si>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</si>
  <si>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</si>
  <si>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</si>
  <si>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</si>
  <si>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</si>
  <si>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</si>
  <si>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</si>
  <si>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</si>
  <si>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</si>
  <si>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</si>
  <si>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</si>
  <si>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</si>
  <si>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</si>
  <si>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</si>
  <si>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</si>
  <si>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</si>
  <si>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</si>
  <si>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</si>
  <si>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</si>
  <si>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</si>
  <si>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</si>
  <si>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</si>
  <si>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</si>
  <si>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</si>
  <si>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</si>
  <si>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</si>
  <si>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</si>
  <si>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</si>
  <si>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</si>
  <si>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</si>
  <si>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</si>
  <si>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</si>
  <si>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</si>
  <si>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</si>
  <si>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</si>
  <si>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</si>
  <si>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</si>
  <si>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</si>
  <si>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</si>
  <si>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</si>
  <si>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</si>
  <si>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</si>
  <si>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</si>
  <si>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</si>
  <si>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</si>
  <si>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</si>
  <si>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</si>
  <si>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</si>
  <si>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</si>
  <si>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</si>
  <si>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</si>
  <si>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</si>
  <si>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</si>
  <si>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</si>
  <si>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</si>
  <si>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</si>
  <si>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</si>
  <si>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</si>
  <si>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</si>
  <si>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</si>
  <si>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</si>
  <si>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</si>
  <si>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</si>
  <si>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</si>
  <si>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</si>
  <si>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</si>
  <si>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</si>
  <si>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</si>
  <si>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</si>
  <si>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</si>
  <si>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</si>
  <si>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</si>
  <si>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</si>
  <si>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</si>
  <si>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</si>
  <si>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</si>
  <si>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</si>
  <si>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</si>
  <si>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</si>
  <si>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</si>
  <si>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</si>
  <si>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</si>
  <si>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</si>
  <si>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</si>
  <si>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</si>
  <si>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</si>
  <si>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</si>
  <si>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</si>
  <si>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</si>
  <si>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</si>
  <si>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</si>
  <si>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</si>
  <si>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</si>
  <si>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</si>
  <si>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</si>
  <si>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</si>
  <si>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</si>
  <si>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</si>
  <si>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</si>
  <si>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</si>
  <si>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</si>
  <si>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</si>
  <si>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</si>
  <si>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</si>
  <si>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</si>
  <si>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</si>
  <si>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</si>
  <si>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</si>
  <si>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</si>
  <si>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</si>
  <si>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</si>
  <si>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</si>
  <si>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</si>
  <si>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</si>
  <si>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</si>
  <si>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</si>
  <si>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</si>
  <si>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</si>
  <si>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</si>
  <si>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</si>
  <si>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</si>
  <si>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</si>
  <si>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</si>
  <si>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</si>
  <si>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</si>
  <si>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</si>
  <si>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</si>
  <si>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</si>
  <si>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</si>
  <si>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</si>
  <si>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</si>
  <si>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</si>
  <si>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</si>
  <si>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</si>
  <si>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</si>
  <si>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</si>
  <si>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</si>
  <si>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</si>
  <si>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</si>
  <si>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</si>
  <si>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</si>
  <si>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</si>
  <si>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</si>
  <si>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</si>
  <si>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</si>
  <si>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</si>
  <si>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</si>
  <si>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</si>
  <si>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</si>
  <si>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</si>
  <si>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</si>
  <si>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</si>
  <si>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</si>
  <si>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</si>
  <si>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</si>
  <si>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</si>
  <si>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</si>
  <si>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</si>
  <si>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</si>
  <si>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</si>
  <si>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</si>
  <si>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</si>
  <si>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</si>
  <si>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</si>
  <si>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</si>
  <si>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</si>
  <si>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</si>
  <si>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</si>
  <si>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</si>
  <si>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</si>
  <si>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</si>
  <si>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</si>
  <si>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</si>
  <si>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</si>
  <si>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</si>
  <si>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</si>
  <si>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</si>
  <si>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</si>
  <si>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</si>
  <si>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</si>
  <si>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</si>
  <si>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</si>
  <si>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</si>
  <si>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</si>
  <si>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</si>
  <si>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</si>
  <si>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</si>
  <si>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</si>
  <si>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</si>
  <si>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</si>
  <si>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</si>
  <si>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</si>
  <si>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</si>
  <si>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</si>
  <si>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</si>
  <si>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</si>
  <si>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</si>
  <si>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</si>
  <si>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</si>
  <si>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</si>
  <si>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</si>
  <si>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</si>
  <si>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</si>
  <si>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</si>
  <si>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</si>
  <si>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</si>
  <si>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</si>
  <si>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</si>
  <si>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</si>
  <si>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</si>
  <si>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</si>
  <si>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</si>
  <si>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</si>
  <si>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</si>
  <si>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</si>
  <si>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</si>
  <si>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</si>
  <si>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</si>
  <si>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</si>
  <si>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</si>
  <si>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</si>
  <si>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</si>
  <si>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</si>
  <si>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</si>
  <si>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</si>
  <si>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</si>
  <si>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</si>
  <si>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</si>
  <si>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</si>
  <si>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</si>
  <si>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</si>
  <si>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</si>
  <si>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</si>
  <si>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</si>
  <si>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</si>
  <si>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</si>
  <si>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</si>
  <si>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</si>
  <si>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</si>
  <si>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</si>
  <si>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</si>
  <si>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</si>
  <si>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</si>
  <si>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</si>
  <si>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</si>
  <si>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</si>
  <si>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</si>
  <si>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</si>
  <si>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</si>
  <si>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</si>
  <si>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</si>
  <si>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</si>
  <si>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</si>
  <si>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</si>
  <si>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</si>
  <si>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</si>
  <si>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</si>
  <si>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</si>
  <si>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</si>
  <si>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</si>
  <si>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</si>
  <si>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</si>
  <si>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</si>
  <si>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</si>
  <si>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</si>
  <si>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</si>
  <si>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</si>
  <si>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</si>
  <si>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</si>
  <si>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</si>
  <si>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</si>
  <si>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</si>
  <si>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</si>
  <si>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</si>
  <si>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</si>
  <si>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</si>
  <si>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</si>
  <si>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</si>
  <si>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</si>
  <si>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</si>
  <si>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</si>
  <si>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</si>
  <si>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</si>
  <si>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</si>
  <si>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</si>
  <si>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</si>
  <si>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</si>
  <si>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</si>
  <si>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</si>
  <si>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</si>
  <si>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</si>
  <si>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</si>
  <si>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</si>
  <si>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</si>
  <si>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</si>
  <si>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</si>
  <si>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</si>
  <si>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</si>
  <si>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</si>
  <si>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</si>
  <si>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</si>
  <si>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</si>
  <si>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</si>
  <si>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</si>
  <si>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</si>
  <si>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</si>
  <si>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</si>
  <si>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</si>
  <si>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</si>
  <si>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</si>
  <si>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</si>
  <si>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</si>
  <si>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</si>
  <si>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</si>
  <si>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</si>
  <si>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</si>
  <si>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</si>
  <si>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</si>
  <si>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</si>
  <si>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</si>
  <si>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</si>
  <si>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</si>
  <si>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</si>
  <si>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</si>
  <si>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</si>
  <si>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</si>
  <si>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</si>
  <si>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</si>
  <si>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</si>
  <si>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</si>
  <si>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</si>
  <si>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</si>
  <si>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</si>
  <si>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</si>
  <si>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</si>
  <si>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</si>
  <si>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</si>
  <si>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</si>
  <si>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</si>
  <si>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</si>
  <si>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</si>
  <si>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</si>
  <si>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</si>
  <si>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</si>
  <si>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</si>
  <si>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</si>
  <si>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</si>
  <si>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</si>
  <si>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</si>
  <si>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</si>
  <si>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</si>
  <si>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</si>
  <si>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</si>
  <si>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</si>
  <si>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</si>
  <si>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</si>
  <si>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</si>
  <si>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</si>
  <si>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</si>
  <si>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</si>
  <si>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</si>
  <si>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</si>
  <si>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</si>
  <si>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</si>
  <si>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</si>
  <si>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</si>
  <si>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</si>
  <si>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</si>
  <si>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</si>
  <si>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</si>
  <si>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</si>
  <si>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</si>
  <si>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</si>
  <si>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</si>
  <si>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</si>
  <si>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</si>
  <si>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</si>
  <si>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</si>
  <si>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</si>
  <si>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</si>
  <si>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</si>
  <si>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</si>
  <si>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</si>
  <si>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</si>
  <si>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</si>
  <si>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</si>
  <si>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</si>
  <si>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</si>
  <si>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</si>
  <si>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</si>
  <si>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</si>
  <si>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</si>
  <si>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</si>
  <si>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</si>
  <si>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</si>
  <si>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</si>
  <si>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</si>
  <si>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</si>
  <si>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</si>
  <si>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</si>
  <si>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</si>
  <si>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</si>
  <si>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</si>
  <si>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</si>
  <si>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</si>
  <si>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</si>
  <si>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</si>
  <si>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</si>
  <si>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</si>
  <si>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</si>
  <si>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</si>
  <si>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</si>
  <si>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</si>
  <si>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</si>
  <si>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</si>
  <si>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</si>
  <si>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</si>
  <si>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</si>
  <si>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</si>
  <si>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</si>
  <si>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</si>
  <si>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</si>
  <si>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</si>
  <si>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</si>
  <si>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</si>
  <si>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</si>
  <si>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</si>
  <si>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</si>
  <si>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</si>
  <si>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</si>
  <si>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</si>
  <si>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</si>
  <si>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</si>
  <si>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</si>
  <si>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</si>
  <si>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</si>
  <si>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</si>
  <si>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</si>
  <si>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</si>
  <si>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</si>
  <si>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</si>
  <si>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</si>
  <si>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</si>
  <si>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</si>
  <si>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</si>
  <si>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</si>
  <si>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</si>
  <si>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</si>
  <si>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</si>
  <si>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</si>
  <si>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</si>
  <si>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</si>
  <si>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</si>
  <si>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</si>
  <si>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</si>
  <si>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</si>
  <si>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</si>
  <si>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</si>
  <si>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</si>
  <si>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</si>
  <si>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</si>
  <si>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</si>
  <si>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</si>
  <si>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</si>
  <si>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</si>
  <si>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</si>
  <si>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</si>
  <si>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</si>
  <si>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</si>
  <si>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</si>
  <si>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</si>
  <si>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</si>
  <si>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</si>
  <si>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</si>
  <si>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</si>
  <si>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</si>
  <si>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</si>
  <si>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</si>
  <si>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</si>
  <si>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</si>
  <si>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</si>
  <si>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</si>
  <si>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</si>
  <si>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</si>
  <si>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</si>
  <si>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</si>
  <si>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</si>
  <si>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</si>
  <si>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</si>
  <si>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</si>
  <si>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</si>
  <si>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</si>
  <si>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</si>
  <si>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</si>
  <si>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</si>
  <si>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</si>
  <si>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</si>
  <si>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</si>
  <si>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</si>
  <si>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</si>
  <si>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</si>
  <si>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</si>
  <si>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</si>
  <si>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</si>
  <si>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</si>
  <si>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</si>
  <si>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</si>
  <si>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</si>
  <si>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</si>
  <si>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</si>
  <si>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</si>
  <si>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</si>
  <si>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</si>
  <si>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</si>
  <si>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</si>
  <si>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</si>
  <si>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</si>
  <si>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</si>
  <si>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</si>
  <si>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</si>
  <si>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</si>
  <si>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</si>
  <si>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</si>
  <si>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</si>
  <si>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</si>
  <si>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</si>
  <si>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</si>
  <si>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</si>
  <si>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</si>
  <si>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</si>
  <si>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</si>
  <si>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</si>
  <si>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</si>
  <si>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</si>
  <si>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</si>
  <si>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</si>
  <si>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</si>
  <si>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</si>
  <si>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</si>
  <si>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</si>
  <si>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</si>
  <si>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</si>
  <si>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</si>
  <si>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</si>
  <si>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</si>
  <si>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</si>
  <si>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</si>
  <si>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</si>
  <si>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</si>
  <si>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</si>
  <si>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</si>
  <si>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</si>
  <si>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</si>
  <si>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</si>
  <si>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</si>
  <si>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</si>
  <si>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</si>
  <si>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</si>
  <si>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</si>
  <si>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</si>
  <si>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</si>
  <si>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</si>
  <si>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</si>
  <si>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</si>
  <si>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</si>
  <si>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</si>
  <si>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</si>
  <si>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</si>
  <si>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</si>
  <si>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</si>
  <si>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</si>
  <si>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</si>
  <si>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</si>
  <si>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</si>
  <si>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</si>
  <si>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</si>
  <si>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</si>
  <si>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</si>
  <si>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</si>
  <si>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</si>
  <si>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</si>
  <si>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</si>
  <si>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</si>
  <si>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</si>
  <si>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</si>
  <si>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</si>
  <si>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</si>
  <si>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</si>
  <si>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</si>
  <si>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</si>
  <si>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</si>
  <si>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</si>
  <si>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</si>
  <si>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</si>
  <si>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</si>
  <si>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</si>
  <si>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</si>
  <si>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</si>
  <si>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</si>
  <si>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</si>
  <si>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</si>
  <si>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</si>
  <si>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</si>
  <si>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</si>
  <si>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</si>
  <si>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</si>
  <si>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</si>
  <si>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</si>
  <si>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</si>
  <si>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</si>
  <si>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</si>
  <si>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</si>
  <si>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</si>
  <si>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</si>
  <si>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</si>
  <si>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</si>
  <si>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</si>
  <si>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</si>
  <si>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</si>
  <si>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</si>
  <si>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</si>
  <si>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</si>
  <si>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</si>
  <si>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</si>
  <si>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</si>
  <si>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</si>
  <si>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</si>
  <si>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</si>
  <si>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</si>
  <si>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</si>
  <si>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</si>
  <si>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</si>
  <si>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</si>
  <si>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</si>
  <si>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</si>
  <si>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</si>
  <si>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</si>
  <si>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</si>
  <si>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</si>
  <si>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</si>
  <si>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</si>
  <si>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</si>
  <si>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</si>
  <si>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</si>
  <si>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</si>
  <si>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</si>
  <si>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</si>
  <si>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</si>
  <si>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</si>
  <si>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</si>
  <si>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</si>
  <si>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</si>
  <si>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</si>
  <si>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</si>
  <si>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</si>
  <si>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</si>
  <si>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</si>
  <si>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</si>
  <si>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</si>
  <si>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</si>
  <si>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</si>
  <si>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</si>
  <si>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</si>
  <si>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</si>
  <si>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</si>
  <si>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</si>
  <si>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</si>
  <si>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</si>
  <si>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</si>
  <si>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</si>
  <si>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</si>
  <si>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</si>
  <si>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</si>
  <si>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</si>
  <si>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</si>
  <si>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</si>
  <si>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</si>
  <si>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</si>
  <si>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</si>
  <si>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</si>
  <si>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</si>
  <si>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</si>
  <si>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</si>
  <si>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</si>
  <si>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</si>
  <si>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</si>
  <si>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</si>
  <si>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</si>
  <si>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</si>
  <si>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</si>
  <si>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</si>
  <si>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</si>
  <si>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</si>
  <si>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</si>
  <si>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</si>
  <si>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</si>
  <si>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</si>
  <si>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</si>
  <si>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</si>
  <si>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</si>
  <si>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</si>
  <si>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</si>
  <si>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</si>
  <si>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</si>
  <si>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</si>
  <si>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</si>
  <si>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</si>
  <si>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</si>
  <si>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</si>
  <si>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</si>
  <si>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</si>
  <si>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</si>
  <si>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</si>
  <si>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</si>
  <si>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</si>
  <si>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</si>
  <si>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</si>
  <si>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</si>
  <si>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</si>
  <si>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</si>
  <si>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</si>
  <si>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</si>
  <si>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</si>
  <si>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</si>
  <si>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</si>
  <si>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</si>
  <si>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</si>
  <si>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</si>
  <si>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</si>
  <si>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</si>
  <si>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</si>
  <si>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</si>
  <si>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</si>
  <si>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</si>
  <si>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</si>
  <si>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</si>
  <si>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</si>
  <si>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</si>
  <si>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</si>
  <si>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</si>
  <si>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</si>
  <si>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</si>
  <si>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</si>
  <si>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</si>
  <si>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</si>
  <si>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</si>
  <si>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</si>
  <si>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</si>
  <si>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</si>
  <si>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</si>
  <si>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</si>
  <si>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</si>
  <si>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</si>
  <si>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</si>
  <si>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</si>
  <si>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</si>
  <si>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</si>
  <si>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</si>
  <si>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</si>
  <si>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</si>
  <si>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</si>
  <si>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</si>
  <si>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</si>
  <si>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</si>
  <si>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</si>
  <si>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</si>
  <si>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</si>
  <si>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</si>
  <si>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</si>
  <si>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</si>
  <si>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</si>
  <si>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</si>
  <si>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</si>
  <si>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</si>
  <si>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</si>
  <si>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</si>
  <si>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</si>
  <si>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</si>
  <si>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</si>
  <si>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</si>
  <si>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</si>
  <si>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</si>
  <si>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</si>
  <si>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</si>
  <si>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</si>
  <si>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</si>
  <si>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</si>
  <si>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</si>
  <si>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</si>
  <si>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</si>
  <si>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</si>
  <si>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</si>
  <si>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</si>
  <si>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</si>
  <si>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</si>
  <si>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</si>
  <si>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</si>
  <si>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</si>
  <si>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</si>
  <si>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</si>
  <si>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</si>
  <si>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</si>
  <si>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</si>
  <si>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</si>
  <si>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</si>
  <si>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</si>
  <si>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</si>
  <si>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</si>
  <si>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</si>
  <si>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</si>
  <si>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</si>
  <si>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</si>
  <si>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</si>
  <si>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</si>
  <si>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</si>
  <si>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</si>
  <si>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</si>
  <si>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</si>
  <si>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</si>
  <si>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</si>
  <si>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</si>
  <si>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</si>
  <si>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</si>
  <si>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</si>
  <si>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</si>
  <si>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</si>
  <si>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</si>
  <si>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</si>
  <si>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</si>
  <si>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</si>
  <si>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</si>
  <si>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</si>
  <si>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</si>
  <si>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</si>
  <si>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</si>
  <si>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</si>
  <si>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</si>
  <si>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</si>
  <si>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</si>
  <si>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</si>
  <si>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</si>
  <si>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</si>
  <si>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</si>
  <si>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</si>
  <si>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</si>
  <si>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</si>
  <si>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</si>
  <si>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</si>
  <si>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</si>
  <si>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</si>
  <si>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</si>
  <si>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</si>
  <si>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</si>
  <si>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</si>
  <si>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</si>
  <si>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</si>
  <si>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</si>
  <si>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</si>
  <si>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</si>
  <si>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</si>
  <si>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</si>
  <si>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</si>
  <si>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</si>
  <si>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</si>
  <si>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</si>
  <si>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</si>
  <si>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</si>
  <si>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</si>
  <si>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</si>
  <si>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</si>
  <si>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</si>
  <si>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</si>
  <si>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</si>
  <si>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</si>
  <si>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</si>
  <si>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</si>
  <si>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</si>
  <si>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</si>
  <si>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</si>
  <si>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</si>
  <si>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</si>
  <si>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</si>
  <si>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</si>
  <si>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</si>
  <si>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</si>
  <si>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</si>
  <si>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</si>
  <si>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</si>
  <si>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</si>
  <si>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</si>
  <si>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</si>
  <si>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</si>
  <si>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</si>
  <si>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</si>
  <si>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</si>
  <si>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</si>
  <si>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</si>
  <si>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</si>
  <si>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</si>
  <si>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</si>
  <si>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</si>
  <si>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</si>
  <si>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</si>
  <si>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</si>
  <si>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</si>
  <si>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</si>
  <si>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</si>
  <si>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</si>
  <si>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</si>
  <si>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</si>
  <si>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</si>
  <si>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</si>
  <si>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</si>
  <si>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</si>
  <si>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</si>
  <si>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</si>
  <si>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</si>
  <si>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</si>
  <si>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</si>
  <si>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</si>
  <si>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</si>
  <si>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</si>
  <si>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</si>
  <si>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</si>
  <si>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</si>
  <si>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</si>
  <si>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</si>
  <si>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</si>
  <si>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</si>
  <si>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</si>
  <si>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</si>
  <si>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</si>
  <si>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</si>
  <si>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</si>
  <si>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</si>
  <si>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</si>
  <si>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</si>
  <si>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</si>
  <si>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</si>
  <si>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</si>
  <si>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</si>
  <si>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</si>
  <si>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</si>
  <si>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</si>
  <si>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</si>
  <si>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</si>
  <si>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</si>
  <si>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</si>
  <si>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</si>
  <si>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</si>
  <si>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</si>
  <si>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</si>
  <si>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</si>
  <si>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</si>
  <si>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</si>
  <si>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</si>
  <si>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</si>
  <si>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</si>
  <si>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</si>
  <si>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</si>
  <si>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</si>
  <si>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</si>
  <si>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</si>
  <si>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</si>
  <si>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</si>
  <si>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</si>
  <si>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</si>
  <si>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</si>
  <si>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</si>
  <si>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</si>
  <si>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</si>
  <si>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</si>
  <si>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</si>
  <si>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</si>
  <si>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</si>
  <si>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</si>
  <si>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</si>
  <si>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</si>
  <si>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</si>
  <si>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</si>
  <si>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</si>
  <si>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</si>
  <si>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</si>
  <si>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</si>
  <si>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</si>
  <si>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</si>
  <si>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</si>
  <si>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</si>
  <si>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</si>
  <si>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</si>
  <si>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</si>
  <si>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</si>
  <si>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</si>
  <si>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</si>
  <si>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</si>
  <si>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</si>
  <si>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</si>
  <si>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</si>
  <si>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</si>
  <si>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</si>
  <si>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</si>
  <si>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</si>
  <si>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</si>
  <si>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</si>
  <si>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</si>
  <si>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</si>
  <si>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</si>
  <si>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</si>
  <si>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</si>
  <si>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</si>
  <si>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</si>
  <si>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</si>
  <si>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</si>
  <si>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</si>
  <si>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</si>
  <si>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</si>
  <si>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</si>
  <si>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</si>
  <si>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</si>
  <si>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</si>
  <si>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</si>
  <si>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</si>
  <si>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</si>
  <si>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</si>
  <si>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</si>
  <si>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</si>
  <si>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</si>
  <si>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</si>
  <si>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</si>
  <si>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</si>
  <si>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</si>
  <si>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</si>
  <si>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</si>
  <si>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</si>
  <si>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</si>
  <si>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</si>
  <si>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</si>
  <si>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</si>
  <si>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</si>
  <si>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</si>
  <si>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</si>
  <si>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</si>
  <si>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</si>
  <si>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</si>
  <si>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</si>
  <si>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</si>
  <si>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</si>
  <si>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</si>
  <si>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</si>
  <si>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</si>
  <si>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</si>
  <si>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</si>
  <si>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</si>
  <si>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</si>
  <si>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</si>
  <si>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</si>
  <si>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</si>
  <si>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</si>
  <si>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</si>
  <si>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</si>
  <si>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</si>
  <si>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</si>
  <si>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</si>
  <si>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</si>
  <si>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</si>
  <si>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</si>
  <si>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</si>
  <si>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</si>
  <si>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</si>
  <si>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</si>
  <si>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</si>
  <si>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</si>
  <si>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</si>
  <si>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</si>
  <si>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</si>
  <si>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</si>
  <si>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</si>
  <si>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</si>
  <si>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</si>
  <si>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</si>
  <si>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</si>
  <si>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</si>
  <si>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</si>
  <si>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</si>
  <si>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</si>
  <si>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</si>
  <si>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</si>
  <si>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</si>
  <si>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</si>
  <si>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</si>
  <si>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</si>
  <si>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</si>
  <si>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</si>
  <si>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</si>
  <si>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</si>
  <si>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</si>
  <si>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</si>
  <si>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</si>
  <si>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</si>
  <si>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</si>
  <si>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</si>
  <si>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</si>
  <si>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</si>
  <si>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</si>
  <si>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</si>
  <si>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</si>
  <si>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</si>
  <si>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</si>
  <si>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</si>
  <si>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</si>
  <si>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</si>
  <si>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</si>
  <si>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</si>
  <si>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</si>
  <si>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</si>
  <si>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</si>
  <si>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</si>
  <si>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</si>
  <si>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</si>
  <si>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</si>
  <si>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</si>
  <si>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</si>
  <si>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</si>
  <si>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</si>
  <si>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</si>
  <si>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</si>
  <si>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</si>
  <si>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</si>
  <si>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</si>
  <si>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</si>
  <si>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</si>
  <si>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</si>
  <si>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</si>
  <si>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</si>
  <si>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</si>
  <si>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</si>
  <si>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</si>
  <si>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</si>
  <si>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</si>
  <si>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</si>
  <si>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</si>
  <si>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</si>
  <si>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</si>
  <si>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</si>
  <si>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</si>
  <si>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</si>
  <si>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</si>
  <si>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</si>
  <si>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</si>
  <si>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</si>
  <si>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</si>
  <si>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</si>
  <si>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</si>
  <si>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</si>
  <si>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</si>
  <si>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</si>
  <si>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</si>
  <si>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</si>
  <si>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</si>
  <si>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</si>
  <si>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</si>
  <si>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</si>
  <si>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</si>
  <si>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</si>
  <si>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</si>
  <si>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</si>
  <si>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</si>
  <si>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</si>
  <si>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</si>
  <si>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</si>
  <si>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</si>
  <si>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</si>
  <si>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</si>
  <si>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</si>
  <si>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</si>
  <si>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</si>
  <si>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</si>
  <si>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</si>
  <si>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</si>
  <si>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</si>
  <si>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</si>
  <si>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</si>
  <si>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</si>
  <si>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</si>
  <si>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</si>
  <si>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</si>
  <si>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</si>
  <si>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</si>
  <si>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</si>
  <si>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</si>
  <si>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</si>
  <si>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</si>
  <si>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</si>
  <si>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</si>
  <si>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</si>
  <si>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</si>
  <si>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</si>
  <si>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</si>
  <si>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</si>
  <si>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</si>
  <si>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</si>
  <si>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</si>
  <si>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</si>
  <si>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</si>
  <si>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</si>
  <si>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</si>
  <si>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</si>
  <si>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</si>
  <si>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</si>
  <si>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</si>
  <si>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</si>
  <si>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</si>
  <si>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</si>
  <si>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</si>
  <si>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</si>
  <si>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</si>
  <si>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</si>
  <si>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</si>
  <si>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</si>
  <si>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</si>
  <si>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</si>
  <si>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</si>
  <si>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</si>
  <si>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</si>
  <si>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</si>
  <si>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</si>
  <si>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</si>
  <si>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</si>
  <si>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</si>
  <si>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</si>
  <si>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</si>
  <si>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</si>
  <si>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</si>
  <si>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</si>
  <si>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</si>
  <si>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</si>
  <si>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</si>
  <si>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</si>
  <si>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</si>
  <si>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</si>
  <si>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</si>
  <si>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</si>
  <si>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</si>
  <si>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</si>
  <si>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</si>
  <si>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</si>
  <si>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</si>
  <si>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</si>
  <si>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</si>
  <si>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</si>
  <si>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</si>
  <si>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</si>
  <si>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</si>
  <si>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</si>
  <si>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</si>
  <si>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</si>
  <si>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</si>
  <si>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</si>
  <si>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</si>
  <si>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</si>
  <si>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</si>
  <si>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</si>
  <si>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</si>
  <si>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</si>
  <si>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</si>
  <si>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</si>
  <si>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</si>
  <si>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</si>
  <si>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</si>
  <si>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</si>
  <si>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</si>
  <si>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</si>
  <si>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</si>
  <si>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</si>
  <si>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</si>
  <si>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</si>
  <si>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</si>
  <si>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</si>
  <si>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</si>
  <si>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</si>
  <si>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</si>
  <si>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</si>
  <si>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</si>
  <si>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</si>
  <si>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</si>
  <si>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</si>
  <si>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</si>
  <si>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</si>
  <si>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</si>
  <si>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</si>
  <si>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</si>
  <si>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</si>
  <si>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</si>
  <si>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</si>
  <si>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</si>
  <si>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</si>
  <si>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</si>
  <si>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</si>
  <si>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</si>
  <si>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</si>
  <si>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</si>
  <si>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</si>
  <si>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</si>
  <si>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</si>
  <si>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</si>
  <si>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</si>
  <si>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</si>
  <si>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</si>
  <si>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</si>
  <si>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</si>
  <si>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</si>
  <si>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</si>
  <si>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</si>
  <si>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</si>
  <si>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</si>
  <si>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</si>
  <si>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</si>
  <si>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</si>
  <si>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</si>
  <si>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</si>
  <si>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</si>
  <si>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</si>
  <si>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</si>
  <si>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</si>
  <si>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</si>
  <si>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</si>
  <si>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</si>
  <si>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</si>
  <si>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</si>
  <si>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</si>
  <si>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</si>
  <si>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</si>
  <si>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</si>
  <si>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</si>
  <si>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</si>
  <si>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</si>
  <si>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</si>
  <si>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</si>
  <si>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</si>
  <si>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</si>
  <si>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</si>
  <si>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</si>
  <si>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</si>
  <si>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</si>
  <si>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</si>
  <si>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</si>
  <si>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</si>
  <si>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</si>
  <si>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</si>
  <si>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</si>
  <si>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</si>
  <si>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</si>
  <si>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</si>
  <si>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</si>
  <si>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</si>
  <si>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</si>
  <si>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</si>
  <si>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</si>
  <si>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</si>
  <si>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</si>
  <si>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</si>
  <si>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</si>
  <si>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</si>
  <si>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</si>
  <si>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</si>
  <si>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</si>
  <si>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</si>
  <si>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</si>
  <si>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</si>
  <si>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</si>
  <si>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</si>
  <si>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</si>
  <si>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</si>
  <si>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</si>
  <si>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</si>
  <si>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</si>
  <si>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</si>
  <si>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</si>
  <si>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</si>
  <si>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</si>
  <si>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</si>
  <si>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</si>
  <si>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</si>
  <si>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</si>
  <si>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</si>
  <si>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</si>
  <si>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</si>
  <si>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</si>
  <si>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</si>
  <si>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</si>
  <si>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</si>
  <si>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</si>
  <si>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</si>
  <si>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</si>
  <si>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</si>
  <si>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</si>
  <si>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</si>
  <si>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</si>
  <si>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</si>
  <si>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</si>
  <si>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</si>
  <si>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</si>
  <si>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</si>
  <si>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</si>
  <si>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</si>
  <si>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</si>
  <si>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</si>
  <si>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</si>
  <si>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</si>
  <si>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</si>
  <si>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</si>
  <si>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</si>
  <si>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</si>
  <si>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</si>
  <si>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</si>
  <si>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</si>
  <si>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</si>
  <si>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</si>
  <si>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</si>
  <si>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</si>
  <si>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</si>
  <si>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</si>
  <si>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</si>
  <si>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</si>
  <si>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</si>
  <si>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</si>
  <si>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</si>
  <si>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</si>
  <si>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</si>
  <si>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</si>
  <si>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</si>
  <si>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</si>
  <si>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</si>
  <si>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</si>
  <si>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</si>
  <si>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</si>
  <si>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</si>
  <si>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</si>
  <si>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</si>
  <si>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</si>
  <si>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</si>
  <si>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</si>
  <si>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</si>
  <si>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</si>
  <si>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</si>
  <si>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</si>
  <si>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</si>
  <si>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</si>
  <si>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</si>
  <si>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</si>
  <si>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</si>
  <si>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</si>
  <si>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</si>
  <si>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</si>
  <si>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</si>
  <si>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</si>
  <si>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</si>
  <si>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</si>
  <si>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</si>
  <si>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</si>
  <si>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</si>
  <si>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</si>
  <si>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</si>
  <si>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</si>
  <si>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</si>
  <si>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</si>
  <si>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</si>
  <si>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</si>
  <si>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</si>
  <si>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</si>
  <si>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</si>
  <si>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</si>
  <si>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</si>
  <si>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</si>
  <si>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</si>
  <si>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</si>
  <si>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</si>
  <si>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</si>
  <si>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</si>
  <si>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</si>
  <si>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</si>
  <si>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</si>
  <si>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</si>
  <si>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</si>
  <si>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</si>
  <si>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</si>
  <si>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</si>
  <si>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</si>
  <si>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</si>
  <si>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</si>
  <si>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</si>
  <si>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</si>
  <si>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</si>
  <si>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</si>
  <si>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</si>
  <si>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</si>
  <si>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</si>
  <si>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</si>
  <si>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</si>
  <si>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</si>
  <si>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</si>
  <si>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</si>
  <si>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</si>
  <si>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</si>
  <si>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</si>
  <si>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</si>
  <si>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</si>
  <si>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</si>
  <si>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</si>
  <si>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</si>
  <si>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</si>
  <si>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</si>
  <si>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</si>
  <si>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</si>
  <si>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</si>
  <si>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</si>
  <si>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</si>
  <si>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</si>
  <si>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</si>
  <si>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</si>
  <si>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</si>
  <si>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</si>
  <si>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</si>
  <si>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</si>
  <si>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</si>
  <si>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</si>
  <si>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</si>
  <si>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</si>
  <si>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</si>
  <si>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</si>
  <si>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</si>
  <si>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</si>
  <si>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</si>
  <si>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</si>
  <si>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</si>
  <si>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</si>
  <si>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</si>
  <si>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</si>
  <si>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</si>
  <si>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</si>
  <si>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</si>
  <si>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</si>
  <si>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</si>
  <si>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</si>
  <si>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</si>
  <si>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</si>
  <si>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</si>
  <si>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</si>
  <si>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</si>
  <si>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</si>
  <si>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</si>
  <si>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</si>
  <si>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</si>
  <si>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</si>
  <si>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</si>
  <si>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</si>
  <si>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</si>
  <si>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</si>
  <si>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</si>
  <si>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</si>
  <si>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</si>
  <si>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</si>
  <si>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</si>
  <si>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</si>
  <si>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</si>
  <si>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</si>
  <si>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</si>
  <si>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</si>
  <si>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</si>
  <si>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</si>
  <si>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</si>
  <si>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</si>
  <si>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</si>
  <si>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</si>
  <si>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</si>
  <si>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</si>
  <si>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</si>
  <si>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</si>
  <si>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</si>
  <si>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</si>
  <si>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</si>
  <si>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</si>
  <si>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</si>
  <si>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</si>
  <si>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</si>
  <si>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</si>
  <si>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</si>
  <si>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</si>
  <si>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</si>
  <si>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</si>
  <si>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</si>
  <si>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</si>
  <si>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</si>
  <si>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</si>
  <si>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</si>
  <si>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</si>
  <si>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</si>
  <si>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</si>
  <si>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</si>
  <si>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</si>
  <si>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</si>
  <si>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</si>
  <si>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</si>
  <si>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</si>
  <si>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</si>
  <si>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</si>
  <si>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</si>
  <si>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</si>
  <si>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</si>
  <si>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</si>
  <si>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</si>
  <si>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</si>
  <si>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</si>
  <si>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</si>
  <si>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</si>
  <si>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</si>
  <si>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</si>
  <si>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</si>
  <si>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</si>
  <si>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</si>
  <si>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</si>
  <si>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</si>
  <si>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</si>
  <si>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</si>
  <si>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</si>
  <si>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</si>
  <si>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</si>
  <si>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</si>
  <si>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</si>
  <si>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</si>
  <si>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</si>
  <si>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</si>
  <si>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</si>
  <si>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</si>
  <si>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</si>
  <si>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</si>
  <si>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</si>
  <si>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</si>
  <si>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</si>
  <si>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</si>
  <si>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</si>
  <si>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</si>
  <si>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</si>
  <si>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</si>
  <si>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</si>
  <si>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</si>
  <si>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</si>
  <si>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</si>
  <si>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</si>
  <si>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</si>
  <si>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</si>
  <si>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</si>
  <si>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</si>
  <si>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</si>
  <si>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</si>
  <si>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</si>
  <si>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</si>
  <si>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</si>
  <si>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</si>
  <si>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</si>
  <si>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</si>
  <si>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</si>
  <si>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</si>
  <si>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</si>
  <si>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</si>
  <si>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</si>
  <si>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</si>
  <si>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</si>
  <si>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</si>
  <si>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</si>
  <si>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</si>
  <si>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</si>
  <si>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</si>
  <si>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</si>
  <si>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</si>
  <si>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</si>
  <si>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</si>
  <si>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</si>
  <si>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</si>
  <si>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</si>
  <si>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</si>
  <si>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</si>
  <si>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</si>
  <si>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</si>
  <si>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</si>
  <si>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</si>
  <si>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</si>
  <si>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</si>
  <si>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</si>
  <si>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</si>
  <si>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</si>
  <si>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</si>
  <si>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</si>
  <si>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</si>
  <si>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</si>
  <si>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</si>
  <si>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</si>
  <si>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</si>
  <si>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</si>
  <si>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</si>
  <si>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</si>
  <si>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</si>
  <si>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</si>
  <si>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</si>
  <si>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</si>
  <si>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</si>
  <si>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</si>
  <si>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</si>
  <si>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</si>
  <si>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</si>
  <si>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</si>
  <si>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</si>
  <si>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</si>
  <si>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</si>
  <si>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</si>
  <si>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</si>
  <si>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</si>
  <si>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</si>
  <si>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</si>
  <si>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</si>
  <si>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</si>
  <si>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</si>
  <si>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</si>
  <si>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</si>
  <si>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</si>
  <si>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</si>
  <si>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</si>
  <si>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</si>
  <si>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</si>
  <si>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</si>
  <si>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</si>
  <si>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</si>
  <si>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</si>
  <si>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</si>
  <si>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</si>
  <si>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</si>
  <si>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</si>
  <si>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</si>
  <si>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</si>
  <si>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</si>
  <si>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</si>
  <si>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</si>
  <si>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</si>
  <si>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</si>
  <si>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</si>
  <si>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</si>
  <si>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</si>
  <si>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</si>
  <si>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</si>
  <si>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</si>
  <si>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</si>
  <si>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</si>
  <si>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</si>
  <si>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</si>
  <si>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</si>
  <si>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</si>
  <si>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</si>
  <si>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</si>
  <si>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</si>
  <si>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</si>
  <si>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</si>
  <si>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</si>
  <si>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</si>
  <si>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</si>
  <si>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</si>
  <si>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</si>
  <si>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</si>
  <si>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</si>
  <si>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</si>
  <si>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</si>
  <si>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</si>
  <si>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</si>
  <si>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</si>
  <si>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</si>
  <si>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</si>
  <si>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</si>
  <si>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</si>
  <si>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</si>
  <si>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</si>
  <si>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</si>
  <si>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</si>
  <si>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</si>
  <si>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</si>
  <si>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</si>
  <si>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</si>
  <si>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</si>
  <si>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</si>
  <si>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</si>
  <si>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</si>
  <si>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</si>
  <si>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</si>
  <si>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</si>
  <si>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</si>
  <si>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</si>
  <si>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</si>
  <si>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</si>
  <si>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</si>
  <si>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</si>
  <si>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</si>
  <si>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</si>
  <si>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</si>
  <si>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</si>
  <si>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</si>
  <si>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</si>
  <si>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</si>
  <si>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</si>
  <si>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</si>
  <si>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</si>
  <si>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</si>
  <si>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</si>
  <si>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</si>
  <si>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</si>
  <si>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</si>
  <si>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</si>
  <si>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</si>
  <si>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</si>
  <si>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</si>
  <si>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</si>
  <si>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</si>
  <si>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</si>
  <si>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</si>
  <si>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</si>
  <si>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</si>
  <si>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</si>
  <si>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</si>
  <si>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</si>
  <si>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</si>
  <si>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</si>
  <si>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</si>
  <si>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</si>
  <si>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</si>
  <si>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</si>
  <si>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</si>
  <si>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</si>
  <si>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</si>
  <si>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</si>
  <si>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</si>
  <si>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</si>
  <si>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</si>
  <si>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</si>
  <si>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</si>
  <si>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</si>
  <si>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</si>
  <si>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</si>
  <si>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</si>
  <si>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</si>
  <si>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</si>
  <si>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</si>
  <si>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</si>
  <si>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</si>
  <si>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</si>
  <si>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</si>
  <si>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</si>
  <si>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</si>
  <si>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</si>
  <si>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</si>
  <si>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</si>
  <si>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</si>
  <si>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</si>
  <si>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</si>
  <si>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</si>
  <si>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</si>
  <si>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</si>
  <si>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</si>
  <si>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</si>
  <si>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</si>
  <si>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</si>
  <si>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</si>
  <si>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</si>
  <si>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</si>
  <si>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</si>
  <si>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</si>
  <si>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</si>
  <si>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</si>
  <si>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</si>
  <si>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</si>
  <si>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</si>
  <si>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</si>
  <si>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</si>
  <si>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</si>
  <si>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</si>
  <si>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</si>
  <si>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</si>
  <si>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</si>
  <si>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</si>
  <si>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</si>
  <si>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</si>
  <si>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</si>
  <si>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</si>
  <si>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</si>
  <si>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</si>
  <si>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</si>
  <si>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</si>
  <si>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</si>
  <si>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</si>
  <si>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</si>
  <si>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</si>
  <si>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</si>
  <si>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</si>
  <si>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</si>
  <si>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</si>
  <si>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</si>
  <si>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</si>
  <si>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</si>
  <si>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</si>
  <si>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</si>
  <si>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</si>
  <si>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</si>
  <si>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</si>
  <si>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</si>
  <si>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</si>
  <si>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</si>
  <si>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</si>
  <si>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</si>
  <si>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</si>
  <si>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</si>
  <si>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</si>
  <si>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</si>
  <si>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</si>
  <si>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</si>
  <si>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</si>
  <si>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</si>
  <si>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</si>
  <si>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</si>
  <si>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</si>
  <si>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</si>
  <si>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</si>
  <si>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</si>
  <si>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</si>
  <si>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</si>
  <si>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</si>
  <si>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</si>
  <si>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</si>
  <si>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</si>
  <si>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</si>
  <si>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</si>
  <si>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</si>
  <si>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</si>
  <si>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</si>
  <si>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</si>
  <si>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</si>
  <si>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</si>
  <si>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</si>
  <si>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</si>
  <si>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</si>
  <si>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</si>
  <si>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</si>
  <si>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</si>
  <si>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</si>
  <si>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</si>
  <si>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</si>
  <si>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</si>
  <si>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</si>
  <si>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</si>
  <si>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</si>
  <si>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</si>
  <si>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</si>
  <si>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</si>
  <si>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</si>
  <si>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</si>
  <si>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</si>
  <si>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</si>
  <si>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</si>
  <si>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</si>
  <si>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</si>
  <si>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</si>
  <si>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</si>
  <si>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</si>
  <si>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</si>
  <si>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</si>
  <si>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</si>
  <si>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</si>
  <si>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</si>
  <si>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</si>
  <si>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</si>
  <si>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</si>
  <si>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</si>
  <si>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</si>
  <si>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</si>
  <si>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</si>
  <si>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</si>
  <si>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</si>
  <si>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</si>
  <si>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</si>
  <si>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</si>
  <si>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</si>
  <si>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</si>
  <si>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</si>
  <si>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</si>
  <si>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</si>
  <si>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</si>
  <si>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</si>
  <si>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</si>
  <si>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</si>
  <si>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</si>
  <si>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</si>
  <si>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</si>
  <si>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</si>
  <si>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</si>
  <si>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</si>
  <si>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</si>
  <si>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</si>
  <si>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</si>
  <si>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</si>
  <si>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</si>
  <si>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</si>
  <si>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</si>
  <si>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</si>
  <si>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</si>
  <si>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</si>
  <si>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</si>
  <si>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</si>
  <si>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</si>
  <si>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</si>
  <si>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</si>
  <si>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</si>
  <si>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</si>
  <si>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</si>
  <si>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</si>
  <si>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</si>
  <si>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</si>
  <si>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</si>
  <si>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</si>
  <si>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</si>
  <si>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</si>
  <si>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</si>
  <si>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</si>
  <si>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</si>
  <si>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</si>
  <si>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</si>
  <si>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</si>
  <si>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</si>
  <si>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</si>
  <si>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</si>
  <si>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</si>
  <si>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</si>
  <si>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</si>
  <si>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</si>
  <si>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</si>
  <si>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</si>
  <si>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</si>
  <si>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</si>
  <si>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</si>
  <si>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</si>
  <si>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</si>
  <si>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</si>
  <si>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</si>
  <si>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</si>
  <si>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</si>
  <si>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</si>
  <si>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</si>
  <si>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</si>
  <si>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</si>
  <si>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</si>
  <si>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</si>
  <si>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</si>
  <si>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</si>
  <si>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</si>
  <si>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</si>
  <si>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</si>
  <si>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</si>
  <si>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</si>
  <si>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</si>
  <si>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</si>
  <si>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</si>
  <si>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</si>
  <si>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</si>
  <si>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</si>
  <si>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</si>
  <si>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</si>
  <si>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</si>
  <si>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</si>
  <si>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</si>
  <si>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</si>
  <si>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</si>
  <si>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</si>
  <si>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</si>
  <si>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</si>
  <si>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</si>
  <si>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</si>
  <si>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</si>
  <si>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</si>
  <si>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</si>
  <si>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</si>
  <si>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</si>
  <si>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</si>
  <si>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</si>
  <si>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</si>
  <si>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</si>
  <si>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</si>
  <si>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</si>
  <si>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</si>
  <si>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</si>
  <si>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</si>
  <si>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</si>
  <si>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</si>
  <si>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</si>
  <si>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</si>
  <si>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</si>
  <si>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</si>
  <si>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</si>
  <si>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</si>
  <si>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</si>
  <si>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</si>
  <si>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</si>
  <si>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</si>
  <si>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</si>
  <si>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</si>
  <si>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</si>
  <si>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</si>
  <si>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</si>
  <si>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</si>
  <si>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</si>
  <si>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</si>
  <si>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</si>
  <si>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</si>
  <si>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</si>
  <si>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</si>
  <si>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</si>
  <si>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</si>
  <si>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</si>
  <si>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</si>
  <si>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</si>
  <si>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</si>
  <si>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</si>
  <si>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</si>
  <si>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</si>
  <si>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</si>
  <si>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</si>
  <si>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</si>
  <si>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</si>
  <si>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</si>
  <si>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</si>
  <si>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</si>
  <si>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</si>
  <si>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</si>
  <si>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</si>
  <si>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</si>
  <si>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</si>
  <si>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</si>
  <si>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</si>
  <si>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</si>
  <si>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</si>
  <si>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</si>
  <si>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</si>
  <si>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</si>
  <si>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</si>
  <si>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</si>
  <si>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</si>
  <si>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</si>
  <si>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</si>
  <si>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</si>
  <si>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</si>
  <si>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</si>
  <si>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</si>
  <si>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</si>
  <si>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</si>
  <si>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</si>
  <si>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</si>
  <si>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</si>
  <si>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</si>
  <si>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</si>
  <si>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</si>
  <si>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</si>
  <si>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</si>
  <si>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</si>
  <si>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</si>
  <si>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</si>
  <si>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</si>
  <si>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</si>
  <si>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</si>
  <si>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</si>
  <si>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</si>
  <si>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</si>
  <si>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</si>
  <si>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</si>
  <si>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</si>
  <si>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</si>
  <si>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</si>
  <si>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</si>
  <si>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</si>
  <si>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</si>
  <si>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</si>
  <si>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</si>
  <si>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</si>
  <si>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</si>
  <si>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</si>
  <si>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</si>
  <si>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</si>
  <si>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</si>
  <si>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</si>
  <si>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</si>
  <si>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</si>
  <si>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</si>
  <si>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</si>
  <si>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</si>
  <si>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</si>
  <si>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</si>
  <si>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</si>
  <si>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</si>
  <si>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</si>
  <si>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</si>
  <si>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</si>
  <si>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</si>
  <si>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</si>
  <si>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</si>
  <si>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</si>
  <si>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</si>
  <si>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</si>
  <si>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</si>
  <si>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</si>
  <si>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</si>
  <si>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</si>
  <si>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</si>
  <si>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</si>
  <si>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</si>
  <si>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</si>
  <si>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</si>
  <si>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</si>
  <si>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</si>
  <si>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</si>
  <si>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</si>
  <si>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</si>
  <si>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</si>
  <si>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</si>
  <si>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</si>
  <si>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</si>
  <si>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</si>
  <si>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</si>
  <si>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</si>
  <si>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</si>
  <si>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</si>
  <si>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</si>
  <si>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</si>
  <si>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</si>
  <si>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</si>
  <si>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</si>
  <si>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</si>
  <si>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</si>
  <si>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</si>
  <si>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</si>
  <si>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</si>
  <si>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</si>
  <si>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</si>
  <si>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</si>
  <si>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</si>
  <si>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</si>
  <si>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</si>
  <si>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</si>
  <si>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</si>
  <si>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</si>
  <si>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</si>
  <si>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</si>
  <si>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</si>
  <si>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</si>
  <si>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</si>
  <si>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</si>
  <si>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</si>
  <si>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</si>
  <si>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</si>
  <si>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</si>
  <si>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</si>
  <si>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</si>
  <si>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</si>
  <si>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</si>
  <si>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</si>
  <si>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</si>
  <si>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</si>
  <si>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</si>
  <si>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</si>
  <si>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</si>
  <si>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</si>
  <si>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</si>
  <si>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</si>
  <si>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</si>
  <si>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</si>
  <si>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</si>
  <si>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</si>
  <si>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</si>
  <si>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</si>
  <si>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</si>
  <si>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</si>
  <si>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</si>
  <si>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</si>
  <si>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</si>
  <si>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</si>
  <si>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</si>
  <si>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</si>
  <si>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</si>
  <si>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</si>
  <si>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</si>
  <si>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</si>
  <si>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</si>
  <si>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</si>
  <si>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</si>
  <si>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</si>
  <si>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</si>
  <si>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</si>
  <si>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</si>
  <si>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</si>
  <si>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</si>
  <si>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</si>
  <si>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</si>
  <si>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</si>
  <si>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</si>
  <si>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</si>
  <si>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</si>
  <si>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</si>
  <si>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</si>
  <si>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</si>
  <si>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</si>
  <si>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</si>
  <si>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</si>
  <si>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</si>
  <si>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</si>
  <si>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</si>
  <si>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</si>
  <si>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</si>
  <si>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</si>
  <si>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</si>
  <si>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</si>
  <si>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</si>
  <si>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</si>
  <si>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</si>
  <si>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</si>
  <si>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</si>
  <si>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</si>
  <si>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</si>
  <si>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</si>
  <si>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</si>
  <si>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</si>
  <si>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</si>
  <si>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</si>
  <si>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</si>
  <si>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</si>
  <si>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</si>
  <si>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</si>
  <si>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</si>
  <si>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</si>
  <si>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</si>
  <si>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</si>
  <si>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</si>
  <si>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</si>
  <si>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</si>
  <si>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</si>
  <si>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</si>
  <si>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</si>
  <si>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</si>
  <si>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</si>
  <si>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</si>
  <si>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</si>
  <si>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</si>
  <si>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</si>
  <si>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</si>
  <si>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</si>
  <si>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</si>
  <si>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</si>
  <si>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</si>
  <si>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</si>
  <si>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</si>
  <si>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</si>
  <si>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</si>
  <si>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</si>
  <si>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</si>
  <si>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</si>
  <si>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</si>
  <si>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</si>
  <si>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</si>
  <si>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</si>
  <si>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</si>
  <si>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</si>
  <si>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</si>
  <si>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</si>
  <si>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</si>
  <si>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</si>
  <si>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</si>
  <si>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</si>
  <si>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</si>
  <si>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</si>
  <si>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</si>
  <si>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</si>
  <si>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</si>
  <si>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</si>
  <si>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</si>
  <si>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</si>
  <si>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</si>
  <si>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</si>
  <si>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</si>
  <si>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</si>
  <si>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</si>
  <si>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</si>
  <si>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</si>
  <si>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</si>
  <si>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</si>
  <si>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</si>
  <si>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</si>
  <si>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</si>
  <si>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</si>
  <si>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</si>
  <si>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</si>
  <si>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</si>
  <si>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</si>
  <si>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</si>
  <si>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</si>
  <si>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</si>
  <si>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</si>
  <si>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</si>
  <si>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</si>
  <si>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</si>
  <si>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</si>
  <si>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</si>
  <si>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</si>
  <si>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</si>
  <si>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</si>
  <si>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</si>
  <si>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</si>
  <si>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</si>
  <si>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</si>
  <si>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</si>
  <si>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</si>
  <si>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</si>
  <si>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</si>
  <si>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</si>
  <si>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</si>
  <si>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</si>
  <si>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</si>
  <si>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</si>
  <si>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</si>
  <si>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</si>
  <si>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</si>
  <si>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</si>
  <si>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</si>
  <si>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</si>
  <si>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</si>
  <si>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</si>
  <si>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</si>
  <si>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</si>
  <si>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</si>
  <si>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</si>
  <si>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</si>
  <si>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</si>
  <si>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</si>
  <si>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</si>
  <si>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</si>
  <si>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</si>
  <si>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</si>
  <si>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</si>
  <si>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</si>
  <si>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</si>
  <si>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</si>
  <si>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</si>
  <si>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</si>
  <si>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</si>
  <si>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</si>
  <si>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</si>
  <si>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</si>
  <si>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</si>
  <si>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</si>
  <si>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</si>
  <si>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</si>
  <si>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</si>
  <si>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</si>
  <si>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</si>
  <si>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</si>
  <si>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</si>
  <si>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</si>
  <si>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</si>
  <si>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</si>
  <si>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</si>
  <si>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</si>
  <si>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</si>
  <si>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</si>
  <si>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</si>
  <si>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</si>
  <si>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</si>
  <si>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</si>
  <si>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</si>
  <si>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</si>
  <si>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</si>
  <si>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</si>
  <si>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</si>
  <si>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</si>
  <si>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</si>
  <si>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</si>
  <si>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</si>
  <si>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</si>
  <si>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</si>
  <si>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</si>
  <si>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</si>
  <si>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</si>
  <si>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</si>
  <si>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</si>
  <si>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</si>
  <si>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</si>
  <si>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</si>
  <si>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</si>
  <si>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</si>
  <si>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</si>
  <si>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</si>
  <si>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</si>
  <si>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</si>
  <si>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</si>
  <si>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</si>
  <si>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</si>
  <si>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</si>
  <si>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</si>
  <si>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</si>
  <si>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</si>
  <si>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</si>
  <si>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</si>
  <si>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</si>
  <si>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</si>
  <si>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</si>
  <si>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</si>
  <si>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</si>
  <si>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</si>
  <si>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</si>
  <si>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</si>
  <si>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</si>
  <si>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</si>
  <si>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</si>
  <si>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</si>
  <si>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</si>
  <si>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</si>
  <si>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</si>
  <si>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</si>
  <si>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</si>
  <si>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</si>
  <si>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</si>
  <si>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</si>
  <si>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</si>
  <si>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</si>
  <si>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</si>
  <si>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</si>
  <si>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</si>
  <si>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</si>
  <si>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</si>
  <si>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</si>
  <si>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</si>
  <si>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</si>
  <si>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</si>
  <si>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</si>
  <si>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</si>
  <si>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</si>
  <si>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</si>
  <si>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</si>
  <si>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</si>
  <si>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</si>
  <si>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</si>
  <si>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</si>
  <si>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</si>
  <si>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</si>
  <si>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</si>
  <si>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</si>
  <si>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</si>
  <si>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</si>
  <si>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</si>
  <si>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</si>
  <si>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</si>
  <si>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</si>
  <si>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</si>
  <si>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</si>
  <si>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</si>
  <si>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</si>
  <si>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</si>
  <si>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</si>
  <si>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</si>
  <si>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</si>
  <si>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</si>
  <si>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</si>
  <si>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</si>
  <si>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</si>
  <si>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</si>
  <si>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</si>
  <si>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</si>
  <si>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</si>
  <si>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</si>
  <si>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</si>
  <si>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</si>
  <si>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</si>
  <si>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</si>
  <si>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</si>
  <si>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</si>
  <si>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</si>
  <si>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</si>
  <si>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</si>
  <si>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</si>
  <si>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</si>
  <si>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</si>
  <si>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</si>
  <si>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</si>
  <si>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</si>
  <si>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</si>
  <si>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</si>
  <si>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</si>
  <si>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</si>
  <si>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</si>
  <si>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</si>
  <si>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</si>
  <si>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</si>
  <si>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</si>
  <si>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</si>
  <si>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</si>
  <si>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</si>
  <si>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</si>
  <si>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</si>
  <si>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</si>
  <si>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</si>
  <si>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</si>
  <si>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</si>
  <si>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</si>
  <si>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</si>
  <si>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</si>
  <si>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</si>
  <si>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</si>
  <si>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</si>
  <si>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</si>
  <si>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</si>
  <si>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</si>
  <si>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</si>
  <si>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</si>
  <si>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</si>
  <si>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</si>
  <si>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</si>
  <si>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</si>
  <si>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</si>
  <si>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</si>
  <si>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</si>
  <si>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</si>
  <si>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</si>
  <si>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</si>
  <si>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</si>
  <si>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</si>
  <si>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</si>
  <si>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</si>
  <si>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</si>
  <si>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</si>
  <si>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</si>
  <si>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</si>
  <si>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</si>
  <si>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</si>
  <si>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</si>
  <si>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</si>
  <si>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</si>
  <si>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</si>
  <si>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</si>
  <si>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</si>
  <si>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</si>
  <si>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</si>
  <si>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</si>
  <si>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</si>
  <si>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</si>
  <si>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</si>
  <si>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</si>
  <si>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</si>
  <si>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</si>
  <si>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</si>
  <si>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</si>
  <si>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</si>
  <si>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</si>
  <si>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</si>
  <si>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</si>
  <si>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</si>
  <si>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</si>
  <si>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</si>
  <si>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</si>
  <si>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</si>
  <si>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</si>
  <si>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</si>
  <si>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</si>
  <si>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</si>
  <si>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</si>
  <si>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</si>
  <si>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</si>
  <si>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</si>
  <si>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</si>
  <si>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</si>
  <si>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</si>
  <si>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</si>
  <si>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</si>
  <si>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</si>
  <si>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</si>
  <si>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</si>
  <si>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</si>
  <si>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</si>
  <si>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</si>
  <si>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</si>
  <si>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</si>
  <si>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</si>
  <si>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</si>
  <si>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</si>
  <si>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</si>
  <si>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</si>
  <si>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</si>
  <si>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</si>
  <si>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</si>
  <si>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</si>
  <si>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</si>
  <si>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</si>
  <si>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</si>
  <si>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</si>
  <si>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</si>
  <si>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</si>
  <si>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</si>
  <si>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</si>
  <si>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</si>
  <si>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</si>
  <si>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</si>
  <si>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</si>
  <si>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</si>
  <si>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</si>
  <si>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</si>
  <si>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</si>
  <si>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</si>
  <si>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</si>
  <si>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</si>
  <si>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</si>
  <si>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</si>
  <si>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</si>
  <si>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</si>
  <si>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</si>
  <si>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</si>
  <si>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</si>
  <si>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</si>
  <si>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</si>
  <si>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</si>
  <si>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</si>
  <si>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</si>
  <si>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</si>
  <si>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</si>
  <si>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</si>
  <si>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</si>
  <si>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</si>
  <si>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</si>
  <si>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</si>
  <si>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</si>
  <si>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</si>
  <si>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</si>
  <si>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</si>
  <si>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</si>
  <si>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</si>
  <si>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</si>
  <si>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</si>
  <si>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</si>
  <si>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</si>
  <si>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</si>
  <si>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</si>
  <si>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</si>
  <si>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</si>
  <si>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</si>
  <si>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</si>
  <si>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</si>
  <si>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</si>
  <si>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</si>
  <si>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</si>
  <si>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</si>
  <si>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</si>
  <si>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</si>
  <si>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</si>
  <si>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</si>
  <si>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</si>
  <si>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</si>
  <si>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</si>
  <si>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</si>
  <si>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</si>
  <si>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</si>
  <si>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</si>
  <si>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</si>
  <si>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</si>
  <si>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</si>
  <si>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</si>
  <si>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</si>
  <si>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</si>
  <si>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</si>
  <si>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</si>
  <si>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</si>
  <si>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</si>
  <si>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</si>
  <si>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</si>
  <si>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</si>
  <si>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</si>
  <si>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</si>
  <si>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</si>
  <si>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</si>
  <si>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</si>
  <si>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</si>
  <si>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</si>
  <si>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</si>
  <si>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</si>
  <si>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</si>
  <si>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</si>
  <si>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</si>
  <si>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</si>
  <si>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</si>
  <si>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</si>
  <si>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</si>
  <si>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</si>
  <si>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</si>
  <si>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</si>
  <si>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</si>
  <si>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</si>
  <si>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</si>
  <si>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</si>
  <si>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</si>
  <si>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</si>
  <si>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</si>
  <si>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</si>
  <si>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</si>
  <si>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</si>
  <si>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</si>
  <si>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</si>
  <si>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</si>
  <si>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</si>
  <si>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</si>
  <si>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</si>
  <si>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</si>
  <si>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</si>
  <si>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</si>
  <si>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</si>
  <si>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</si>
  <si>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</si>
  <si>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</si>
  <si>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</si>
  <si>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</si>
  <si>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</si>
  <si>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</si>
  <si>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</si>
  <si>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</si>
  <si>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</si>
  <si>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</si>
  <si>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</si>
  <si>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</si>
  <si>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</si>
  <si>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</si>
  <si>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</si>
  <si>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</si>
  <si>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</si>
  <si>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</si>
  <si>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</si>
  <si>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</si>
  <si>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</si>
  <si>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</si>
  <si>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</si>
  <si>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</si>
  <si>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</si>
  <si>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</si>
  <si>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</si>
  <si>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</si>
  <si>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</si>
  <si>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</si>
  <si>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</si>
  <si>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</si>
  <si>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</si>
  <si>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</si>
  <si>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</si>
  <si>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</si>
  <si>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</si>
  <si>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</si>
  <si>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</si>
  <si>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</si>
  <si>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</si>
  <si>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</si>
  <si>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</si>
  <si>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</si>
  <si>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</si>
  <si>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</si>
  <si>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</si>
  <si>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</si>
  <si>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</si>
  <si>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</si>
  <si>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</si>
  <si>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</si>
  <si>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</si>
  <si>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</si>
  <si>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</si>
  <si>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</si>
  <si>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</si>
  <si>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</si>
  <si>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</si>
  <si>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</si>
  <si>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</si>
  <si>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</si>
  <si>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</si>
  <si>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</si>
  <si>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</si>
  <si>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</si>
  <si>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</si>
  <si>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</si>
  <si>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</si>
  <si>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</si>
  <si>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</si>
  <si>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</si>
  <si>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</si>
  <si>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</si>
  <si>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</si>
  <si>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</si>
  <si>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</si>
  <si>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</si>
  <si>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</si>
  <si>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</si>
  <si>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</si>
  <si>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</si>
  <si>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</si>
  <si>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</si>
  <si>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</si>
  <si>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</si>
  <si>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</si>
  <si>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</si>
  <si>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</si>
  <si>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</si>
  <si>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</si>
  <si>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</si>
  <si>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</si>
  <si>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</si>
  <si>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</si>
  <si>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</si>
  <si>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</si>
  <si>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</si>
  <si>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</si>
  <si>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</si>
  <si>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</si>
  <si>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</si>
  <si>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</si>
  <si>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</si>
  <si>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</si>
  <si>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</si>
  <si>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</si>
  <si>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</si>
  <si>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</si>
  <si>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</si>
  <si>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</si>
  <si>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</si>
  <si>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</si>
  <si>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</si>
  <si>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</si>
  <si>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</si>
  <si>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</si>
  <si>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</si>
  <si>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</si>
  <si>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</si>
  <si>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</si>
  <si>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</si>
  <si>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</si>
  <si>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</si>
  <si>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</si>
  <si>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</si>
  <si>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</si>
  <si>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</si>
  <si>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</si>
  <si>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</si>
  <si>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</si>
  <si>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</si>
  <si>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</si>
  <si>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</si>
  <si>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</si>
  <si>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</si>
  <si>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</si>
  <si>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</si>
  <si>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</si>
  <si>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</si>
  <si>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</si>
  <si>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</si>
  <si>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</si>
  <si>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</si>
  <si>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</si>
  <si>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</si>
  <si>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</si>
  <si>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</si>
  <si>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</si>
  <si>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</si>
  <si>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</si>
  <si>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</si>
  <si>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</si>
  <si>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</si>
  <si>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</si>
  <si>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</si>
  <si>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</si>
  <si>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</si>
  <si>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</si>
  <si>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</si>
  <si>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</si>
  <si>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</si>
  <si>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</si>
  <si>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</si>
  <si>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</si>
  <si>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</si>
  <si>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</si>
  <si>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</si>
  <si>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</si>
  <si>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</si>
  <si>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</si>
  <si>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</si>
  <si>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</si>
  <si>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</si>
  <si>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</si>
  <si>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</si>
  <si>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</si>
  <si>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</si>
  <si>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</si>
  <si>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</si>
  <si>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</si>
  <si>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</si>
  <si>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</si>
  <si>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</si>
  <si>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</si>
  <si>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</si>
  <si>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</si>
  <si>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</si>
  <si>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</si>
  <si>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</si>
  <si>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</si>
  <si>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</si>
  <si>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</si>
  <si>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</si>
  <si>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</si>
  <si>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</si>
  <si>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</si>
  <si>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</si>
  <si>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</si>
  <si>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</si>
  <si>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</si>
  <si>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</si>
  <si>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</si>
  <si>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</si>
  <si>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</si>
  <si>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</si>
  <si>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</si>
  <si>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</si>
  <si>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</si>
  <si>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</si>
  <si>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</si>
  <si>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</si>
  <si>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</si>
  <si>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</si>
  <si>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</si>
  <si>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</si>
  <si>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</si>
  <si>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</si>
  <si>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</si>
  <si>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</si>
  <si>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</si>
  <si>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</si>
  <si>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</si>
  <si>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</si>
  <si>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</si>
  <si>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</si>
  <si>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</si>
  <si>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</si>
  <si>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</si>
  <si>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</si>
  <si>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</si>
  <si>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</si>
  <si>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</si>
  <si>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</si>
  <si>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</si>
  <si>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</si>
  <si>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</si>
  <si>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</si>
  <si>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</si>
  <si>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</si>
  <si>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</si>
  <si>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</si>
  <si>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</si>
  <si>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</si>
  <si>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</si>
  <si>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</si>
  <si>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</si>
  <si>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</si>
  <si>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</si>
  <si>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</si>
  <si>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</si>
  <si>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</si>
  <si>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</si>
  <si>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</si>
  <si>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</si>
  <si>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</si>
  <si>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</si>
  <si>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</si>
  <si>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</si>
  <si>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</si>
  <si>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</si>
  <si>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</si>
  <si>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</si>
  <si>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</si>
  <si>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</si>
  <si>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</si>
  <si>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</si>
  <si>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</si>
  <si>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</si>
  <si>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</si>
  <si>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</si>
  <si>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</si>
  <si>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</si>
  <si>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</si>
  <si>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</si>
  <si>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</si>
  <si>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</si>
  <si>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</si>
  <si>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</si>
  <si>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</si>
  <si>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</si>
  <si>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</si>
  <si>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</si>
  <si>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</si>
  <si>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</si>
  <si>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</si>
  <si>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</si>
  <si>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</si>
  <si>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</si>
  <si>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</si>
  <si>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</si>
  <si>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</si>
  <si>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</si>
  <si>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</si>
  <si>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</si>
  <si>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</si>
  <si>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</si>
  <si>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</si>
  <si>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</si>
  <si>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</si>
  <si>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</si>
  <si>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</si>
  <si>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</si>
  <si>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</si>
  <si>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</si>
  <si>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</si>
  <si>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</si>
  <si>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</si>
  <si>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</si>
  <si>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</si>
  <si>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</si>
  <si>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</si>
  <si>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</si>
  <si>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</si>
  <si>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</si>
  <si>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</si>
  <si>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</si>
  <si>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</si>
  <si>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</si>
  <si>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</si>
  <si>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</si>
  <si>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</si>
  <si>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</si>
  <si>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</si>
  <si>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</si>
  <si>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</si>
  <si>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</si>
  <si>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</si>
  <si>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</si>
  <si>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</si>
  <si>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</si>
  <si>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</si>
  <si>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</si>
  <si>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</si>
  <si>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</si>
  <si>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</si>
  <si>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</si>
  <si>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</si>
  <si>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</si>
  <si>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</si>
  <si>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</si>
  <si>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</si>
  <si>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</si>
  <si>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</si>
  <si>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</si>
  <si>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</si>
  <si>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</si>
  <si>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</si>
  <si>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</si>
  <si>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</si>
  <si>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</si>
  <si>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</si>
  <si>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</si>
  <si>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</si>
  <si>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</si>
  <si>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</si>
  <si>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</si>
  <si>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</si>
  <si>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</si>
  <si>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</si>
  <si>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</si>
  <si>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</si>
  <si>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</si>
  <si>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</si>
  <si>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</si>
  <si>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</si>
  <si>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</si>
  <si>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</si>
  <si>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</si>
  <si>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</si>
  <si>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</si>
  <si>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</si>
  <si>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</si>
  <si>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</si>
  <si>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</si>
  <si>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</si>
  <si>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</si>
  <si>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</si>
  <si>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</si>
  <si>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</si>
  <si>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</si>
  <si>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</si>
  <si>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</si>
  <si>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</si>
  <si>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</si>
  <si>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</si>
  <si>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</si>
  <si>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</si>
  <si>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</si>
  <si>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</si>
  <si>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</si>
  <si>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</si>
  <si>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</si>
  <si>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</si>
  <si>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</si>
  <si>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</si>
  <si>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</si>
  <si>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</si>
  <si>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</si>
  <si>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</si>
  <si>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</si>
  <si>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</si>
  <si>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</si>
  <si>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</si>
  <si>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</si>
  <si>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</si>
  <si>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</si>
  <si>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</si>
  <si>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</si>
  <si>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</si>
  <si>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</si>
  <si>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</si>
  <si>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</si>
  <si>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</si>
  <si>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</si>
  <si>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</si>
  <si>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</si>
  <si>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</si>
  <si>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</si>
  <si>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</si>
  <si>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</si>
  <si>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</si>
  <si>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</si>
  <si>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</si>
  <si>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</si>
  <si>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</si>
  <si>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</si>
  <si>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</si>
  <si>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</si>
  <si>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</si>
  <si>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</si>
  <si>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</si>
  <si>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</si>
  <si>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</si>
  <si>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</si>
  <si>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</si>
  <si>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</si>
  <si>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</si>
  <si>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</si>
  <si>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</si>
  <si>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</si>
  <si>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</si>
  <si>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</si>
  <si>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</si>
  <si>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</si>
  <si>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</si>
  <si>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</si>
  <si>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</si>
  <si>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</si>
  <si>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</si>
  <si>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</si>
  <si>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</si>
  <si>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</si>
  <si>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</si>
  <si>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</si>
  <si>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</si>
  <si>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</si>
  <si>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</si>
  <si>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</si>
  <si>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</si>
  <si>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</si>
  <si>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</si>
  <si>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</si>
  <si>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</si>
  <si>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</si>
  <si>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</si>
  <si>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</si>
  <si>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</si>
  <si>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</si>
  <si>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</si>
  <si>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</si>
  <si>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</si>
  <si>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</si>
  <si>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</si>
  <si>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</si>
  <si>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</si>
  <si>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</si>
  <si>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</si>
  <si>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</si>
  <si>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</si>
  <si>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</si>
  <si>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</si>
  <si>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</si>
  <si>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</si>
  <si>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</si>
  <si>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</si>
  <si>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</si>
  <si>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</si>
  <si>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</si>
  <si>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</si>
  <si>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</si>
  <si>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</si>
  <si>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</si>
  <si>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</si>
  <si>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</si>
  <si>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</si>
  <si>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</si>
  <si>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</si>
  <si>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</si>
  <si>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</si>
  <si>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</si>
  <si>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</si>
  <si>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</si>
  <si>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</si>
  <si>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</si>
  <si>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</si>
  <si>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</si>
  <si>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</si>
  <si>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</si>
  <si>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</si>
  <si>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</si>
  <si>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</si>
  <si>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</si>
  <si>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</si>
  <si>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</si>
  <si>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</si>
  <si>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</si>
  <si>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</si>
  <si>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</si>
  <si>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</si>
  <si>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</si>
  <si>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</si>
  <si>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</si>
  <si>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</si>
  <si>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</si>
  <si>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</si>
  <si>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</si>
  <si>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</si>
  <si>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</si>
  <si>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</si>
  <si>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</si>
  <si>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</si>
  <si>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</si>
  <si>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</si>
  <si>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</si>
  <si>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</si>
  <si>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</si>
  <si>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</si>
  <si>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</si>
  <si>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</si>
  <si>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</si>
  <si>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</si>
  <si>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</si>
  <si>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</si>
  <si>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</si>
  <si>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</si>
  <si>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</si>
  <si>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</si>
  <si>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</si>
  <si>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</si>
  <si>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</si>
  <si>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</si>
  <si>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</si>
  <si>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</si>
  <si>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</si>
  <si>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</si>
  <si>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</si>
  <si>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</si>
  <si>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</si>
  <si>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</si>
  <si>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</si>
  <si>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</si>
  <si>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</si>
  <si>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</si>
  <si>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</si>
  <si>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</si>
  <si>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</si>
  <si>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</si>
  <si>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</si>
  <si>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</si>
  <si>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</si>
  <si>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</si>
  <si>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</si>
  <si>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</si>
  <si>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</si>
  <si>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</si>
  <si>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</si>
  <si>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</si>
  <si>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</si>
  <si>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</si>
  <si>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</si>
  <si>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</si>
  <si>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</si>
  <si>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</si>
  <si>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</si>
  <si>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</si>
  <si>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</si>
  <si>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</si>
  <si>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</si>
  <si>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</si>
  <si>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</si>
  <si>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</si>
  <si>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</si>
  <si>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</si>
  <si>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</si>
  <si>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</si>
  <si>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</si>
  <si>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</si>
  <si>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</si>
  <si>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</si>
  <si>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</si>
  <si>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</si>
  <si>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</si>
  <si>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</si>
  <si>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</si>
  <si>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</si>
  <si>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</si>
  <si>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</si>
  <si>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</si>
  <si>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</si>
  <si>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</si>
  <si>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</si>
  <si>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</si>
  <si>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</si>
  <si>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</si>
  <si>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</si>
  <si>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</si>
  <si>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</si>
  <si>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</si>
  <si>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</si>
  <si>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</si>
  <si>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</si>
  <si>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</si>
  <si>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</si>
  <si>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</si>
  <si>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</si>
  <si>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</si>
  <si>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</si>
  <si>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</si>
  <si>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</si>
  <si>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</si>
  <si>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</si>
  <si>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</si>
  <si>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</si>
  <si>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</si>
  <si>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</si>
  <si>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</si>
  <si>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</si>
  <si>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</si>
  <si>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</si>
  <si>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</si>
  <si>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</si>
  <si>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</si>
  <si>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</si>
  <si>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</si>
  <si>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</si>
  <si>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</si>
  <si>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</si>
  <si>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</si>
  <si>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</si>
  <si>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</si>
  <si>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</si>
  <si>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</si>
  <si>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</si>
  <si>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</si>
  <si>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</si>
  <si>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</si>
  <si>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</si>
  <si>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</si>
  <si>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</si>
  <si>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</si>
  <si>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</si>
  <si>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</si>
  <si>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</si>
  <si>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</si>
  <si>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</si>
  <si>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</si>
  <si>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</si>
  <si>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</si>
  <si>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</si>
  <si>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</si>
  <si>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</si>
  <si>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</si>
  <si>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</si>
  <si>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</si>
  <si>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</si>
  <si>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</si>
  <si>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</si>
  <si>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</si>
  <si>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</si>
  <si>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</si>
  <si>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</si>
  <si>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</si>
  <si>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</si>
  <si>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</si>
  <si>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</si>
  <si>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</si>
  <si>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</si>
  <si>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</si>
  <si>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</si>
  <si>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</si>
  <si>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</si>
  <si>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</si>
  <si>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</si>
  <si>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</si>
  <si>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</si>
  <si>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</si>
  <si>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</si>
  <si>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</si>
  <si>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</si>
  <si>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</si>
  <si>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</si>
  <si>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</si>
  <si>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</si>
  <si>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</si>
  <si>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</si>
  <si>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</si>
  <si>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</si>
  <si>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</si>
  <si>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</si>
  <si>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</si>
  <si>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</si>
  <si>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</si>
  <si>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</si>
  <si>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</si>
  <si>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</si>
  <si>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</si>
  <si>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</si>
  <si>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</si>
  <si>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</si>
  <si>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</si>
  <si>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</si>
  <si>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</si>
  <si>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</si>
  <si>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</si>
  <si>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</si>
  <si>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</si>
  <si>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</si>
  <si>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</si>
  <si>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</si>
  <si>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</si>
  <si>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</si>
  <si>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</si>
  <si>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</si>
  <si>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</si>
  <si>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</si>
  <si>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</si>
  <si>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</si>
  <si>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</si>
  <si>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</si>
  <si>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</si>
  <si>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</si>
  <si>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</si>
  <si>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</si>
  <si>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</si>
  <si>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</si>
  <si>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</si>
  <si>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</si>
  <si>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</si>
  <si>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</si>
  <si>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</si>
  <si>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</si>
  <si>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</si>
  <si>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</si>
  <si>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</si>
  <si>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</si>
  <si>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</si>
  <si>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</si>
  <si>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</si>
  <si>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</si>
  <si>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</si>
  <si>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</si>
  <si>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</si>
  <si>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</si>
  <si>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</si>
  <si>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</si>
  <si>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</si>
  <si>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</si>
  <si>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</si>
  <si>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</si>
  <si>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</si>
  <si>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</si>
  <si>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</si>
  <si>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</si>
  <si>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</si>
  <si>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</si>
  <si>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</si>
  <si>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</si>
  <si>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</si>
  <si>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</si>
  <si>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</si>
  <si>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</si>
  <si>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</si>
  <si>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</si>
  <si>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</si>
  <si>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</si>
  <si>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</si>
  <si>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</si>
  <si>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</si>
  <si>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</si>
  <si>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</si>
  <si>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</si>
  <si>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</si>
  <si>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</si>
  <si>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</si>
  <si>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</si>
  <si>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</si>
  <si>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</si>
  <si>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</si>
  <si>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</si>
  <si>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</si>
  <si>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</si>
  <si>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</si>
  <si>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</si>
  <si>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</si>
  <si>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</si>
  <si>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</si>
  <si>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</si>
  <si>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</si>
  <si>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</si>
  <si>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</si>
  <si>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</si>
  <si>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</si>
  <si>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</si>
  <si>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</si>
  <si>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</si>
  <si>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</si>
  <si>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</si>
  <si>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</si>
  <si>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</si>
  <si>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</si>
  <si>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</si>
  <si>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</si>
  <si>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</si>
  <si>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</si>
  <si>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</si>
  <si>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</si>
  <si>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</si>
  <si>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</si>
  <si>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</si>
  <si>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</si>
  <si>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</si>
  <si>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</si>
  <si>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</si>
  <si>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</si>
  <si>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</si>
  <si>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</si>
  <si>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</si>
  <si>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</si>
  <si>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</si>
  <si>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</si>
  <si>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</si>
  <si>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</si>
  <si>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</si>
  <si>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</si>
  <si>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</si>
  <si>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</si>
  <si>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</si>
  <si>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</si>
  <si>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</si>
  <si>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</si>
  <si>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</si>
  <si>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</si>
  <si>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</si>
  <si>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</si>
  <si>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</si>
  <si>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</si>
  <si>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</si>
  <si>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</si>
  <si>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</si>
  <si>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</si>
  <si>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</si>
  <si>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</si>
  <si>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</si>
  <si>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</si>
  <si>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</si>
  <si>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</si>
  <si>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</si>
  <si>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</si>
  <si>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</si>
  <si>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</si>
  <si>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</si>
  <si>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</si>
  <si>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</si>
  <si>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</si>
  <si>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</si>
  <si>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</si>
  <si>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</si>
  <si>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</si>
  <si>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</si>
  <si>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</si>
  <si>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</si>
  <si>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</si>
  <si>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</si>
  <si>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</si>
  <si>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</si>
  <si>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</si>
  <si>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</si>
  <si>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</si>
  <si>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</si>
  <si>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</si>
  <si>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</si>
  <si>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</si>
  <si>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</si>
  <si>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</si>
  <si>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</si>
  <si>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</si>
  <si>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</si>
  <si>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</si>
  <si>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</si>
  <si>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</si>
  <si>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</si>
  <si>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</si>
  <si>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</si>
  <si>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</si>
  <si>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</si>
  <si>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</si>
  <si>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</si>
  <si>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</si>
  <si>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</si>
  <si>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</si>
  <si>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</si>
  <si>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</si>
  <si>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</si>
  <si>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</si>
  <si>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</si>
  <si>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</si>
  <si>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</si>
  <si>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</si>
  <si>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</si>
  <si>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</si>
  <si>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</si>
  <si>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</si>
  <si>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</si>
  <si>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</si>
  <si>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</si>
  <si>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</si>
  <si>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</si>
  <si>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</si>
  <si>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</si>
  <si>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</si>
  <si>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</si>
  <si>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</si>
  <si>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</si>
  <si>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</si>
  <si>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</si>
  <si>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</si>
  <si>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</si>
  <si>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</si>
  <si>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</si>
  <si>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</si>
  <si>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</si>
  <si>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</si>
  <si>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</si>
  <si>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</si>
  <si>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</si>
  <si>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</si>
  <si>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</si>
  <si>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</si>
  <si>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</si>
  <si>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</si>
  <si>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</si>
  <si>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</si>
  <si>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</si>
  <si>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</si>
  <si>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</si>
  <si>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</si>
  <si>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</si>
  <si>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</si>
  <si>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</si>
  <si>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</si>
  <si>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</si>
  <si>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</si>
  <si>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</si>
  <si>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</si>
  <si>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</si>
  <si>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</si>
  <si>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</si>
  <si>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</si>
  <si>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</si>
  <si>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</si>
  <si>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</si>
  <si>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</si>
  <si>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</si>
  <si>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</si>
  <si>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</si>
  <si>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</si>
  <si>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</si>
  <si>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</si>
  <si>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</si>
  <si>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</si>
  <si>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</si>
  <si>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</si>
  <si>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</si>
  <si>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</si>
  <si>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</si>
  <si>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</si>
  <si>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</si>
  <si>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</si>
  <si>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</si>
  <si>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</si>
  <si>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</si>
  <si>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</si>
  <si>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</si>
  <si>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</si>
  <si>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</si>
  <si>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</si>
  <si>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</si>
  <si>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</si>
  <si>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</si>
  <si>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</si>
  <si>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</si>
  <si>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</si>
  <si>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</si>
  <si>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</si>
  <si>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</si>
  <si>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</si>
  <si>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</si>
  <si>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</si>
  <si>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</si>
  <si>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</si>
  <si>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</si>
  <si>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</si>
  <si>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</si>
  <si>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</si>
  <si>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</si>
  <si>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</si>
  <si>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</si>
  <si>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</si>
  <si>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</si>
  <si>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</si>
  <si>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</si>
  <si>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</si>
  <si>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</si>
  <si>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</si>
  <si>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</si>
  <si>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</si>
  <si>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</si>
  <si>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</si>
  <si>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</si>
  <si>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</si>
  <si>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</si>
  <si>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</si>
  <si>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</si>
  <si>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</si>
  <si>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</si>
  <si>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</si>
  <si>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</si>
  <si>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</si>
  <si>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</si>
  <si>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</si>
  <si>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</si>
  <si>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</si>
  <si>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</si>
  <si>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</si>
  <si>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</si>
  <si>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</si>
  <si>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</si>
  <si>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</si>
  <si>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</si>
  <si>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</si>
  <si>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</si>
  <si>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</si>
  <si>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</si>
  <si>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</si>
  <si>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</si>
  <si>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</si>
  <si>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</si>
  <si>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</si>
  <si>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</si>
  <si>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</si>
  <si>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</si>
  <si>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</si>
  <si>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</si>
  <si>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</si>
  <si>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</si>
  <si>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</si>
  <si>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</si>
  <si>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</si>
  <si>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</si>
  <si>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</si>
  <si>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</si>
  <si>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</si>
  <si>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</si>
  <si>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</si>
  <si>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</si>
  <si>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</si>
  <si>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</si>
  <si>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</si>
  <si>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</si>
  <si>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</si>
  <si>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</si>
  <si>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</si>
  <si>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</si>
  <si>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</si>
  <si>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</si>
  <si>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</si>
  <si>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</si>
  <si>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</si>
  <si>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</si>
  <si>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</si>
  <si>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</si>
  <si>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</si>
  <si>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</si>
  <si>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</si>
  <si>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</si>
  <si>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</si>
  <si>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</si>
  <si>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</si>
  <si>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</si>
  <si>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</si>
  <si>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</si>
  <si>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</si>
  <si>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</si>
  <si>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</si>
  <si>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</si>
  <si>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</si>
  <si>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</si>
  <si>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</si>
  <si>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</si>
  <si>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</si>
  <si>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</si>
  <si>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</si>
  <si>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</si>
  <si>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</si>
  <si>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</si>
  <si>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</si>
  <si>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</si>
  <si>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</si>
  <si>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</si>
  <si>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</si>
  <si>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</si>
  <si>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</si>
  <si>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</si>
  <si>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</si>
  <si>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</si>
  <si>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</si>
  <si>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</si>
  <si>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</si>
  <si>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</si>
  <si>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</si>
  <si>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</si>
  <si>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</si>
  <si>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</si>
  <si>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</si>
  <si>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</si>
  <si>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</si>
  <si>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</si>
  <si>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</si>
  <si>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</si>
  <si>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</si>
  <si>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</si>
  <si>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</si>
  <si>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</si>
  <si>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</si>
  <si>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</si>
  <si>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</si>
  <si>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</si>
  <si>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</si>
  <si>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</si>
  <si>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</si>
  <si>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</si>
  <si>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</si>
  <si>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</si>
  <si>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</si>
  <si>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</si>
  <si>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</si>
  <si>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</si>
  <si>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</si>
  <si>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</si>
  <si>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</si>
  <si>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</si>
  <si>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</si>
  <si>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</si>
  <si>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</si>
  <si>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</si>
  <si>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</si>
  <si>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</si>
  <si>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</si>
  <si>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</si>
  <si>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</si>
  <si>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</si>
  <si>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</si>
  <si>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</si>
  <si>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</si>
  <si>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</si>
  <si>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</si>
  <si>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</si>
  <si>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</si>
  <si>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</si>
  <si>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</si>
  <si>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</si>
  <si>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</si>
  <si>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</si>
  <si>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</si>
  <si>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</si>
  <si>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</si>
  <si>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</si>
  <si>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</si>
  <si>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</si>
  <si>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</si>
  <si>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</si>
  <si>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</si>
  <si>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</si>
  <si>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</si>
  <si>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</si>
  <si>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</si>
  <si>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</si>
  <si>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</si>
  <si>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</si>
  <si>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</si>
  <si>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</si>
  <si>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</si>
  <si>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</si>
  <si>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</si>
  <si>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</si>
  <si>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</si>
  <si>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</si>
  <si>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</si>
  <si>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</si>
  <si>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</si>
  <si>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</si>
  <si>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</si>
  <si>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</si>
  <si>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</si>
  <si>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</si>
  <si>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</si>
  <si>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</si>
  <si>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</si>
  <si>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</si>
  <si>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</si>
  <si>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</si>
  <si>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</si>
  <si>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</si>
  <si>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</si>
  <si>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</si>
  <si>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</si>
  <si>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</si>
  <si>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</si>
  <si>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</si>
  <si>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</si>
  <si>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</si>
  <si>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</si>
  <si>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</si>
  <si>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</si>
  <si>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</si>
  <si>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</si>
  <si>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</si>
  <si>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</si>
  <si>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</si>
  <si>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</si>
  <si>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</si>
  <si>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</si>
  <si>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</si>
  <si>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</si>
  <si>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</si>
  <si>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</si>
  <si>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</si>
  <si>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</si>
  <si>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</si>
  <si>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</si>
  <si>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</si>
  <si>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</si>
  <si>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</si>
  <si>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</si>
  <si>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</si>
  <si>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</si>
  <si>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</si>
  <si>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</si>
  <si>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</si>
  <si>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</si>
  <si>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</si>
  <si>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</si>
  <si>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</si>
  <si>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</si>
  <si>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</si>
  <si>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</si>
  <si>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</si>
  <si>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</si>
  <si>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</si>
  <si>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</si>
  <si>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</si>
  <si>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</si>
  <si>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</si>
  <si>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</si>
  <si>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</si>
  <si>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</si>
  <si>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</si>
  <si>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</si>
  <si>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</si>
  <si>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</si>
  <si>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</si>
  <si>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</si>
  <si>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</si>
  <si>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</si>
  <si>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</si>
  <si>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</si>
  <si>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</si>
  <si>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</si>
  <si>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</si>
  <si>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</si>
  <si>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</si>
  <si>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</si>
  <si>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</si>
  <si>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</si>
  <si>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</si>
  <si>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</si>
  <si>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</si>
  <si>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</si>
  <si>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</si>
  <si>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</si>
  <si>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</si>
  <si>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</si>
  <si>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</si>
  <si>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</si>
  <si>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</si>
  <si>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</si>
  <si>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</si>
  <si>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</si>
  <si>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</si>
  <si>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</si>
  <si>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</si>
  <si>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</si>
  <si>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</si>
  <si>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</si>
  <si>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</si>
  <si>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</si>
  <si>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</si>
  <si>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</si>
  <si>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</si>
  <si>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</si>
  <si>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</si>
  <si>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</si>
  <si>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</si>
  <si>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</si>
  <si>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</si>
  <si>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</si>
  <si>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</si>
  <si>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</si>
  <si>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</si>
  <si>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</si>
  <si>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</si>
  <si>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</si>
  <si>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</si>
  <si>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</si>
  <si>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</si>
  <si>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</si>
  <si>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</si>
  <si>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</si>
  <si>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</si>
  <si>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</si>
  <si>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</si>
  <si>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</si>
  <si>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</si>
  <si>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</si>
  <si>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</si>
  <si>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</si>
  <si>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</si>
  <si>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</si>
  <si>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</si>
  <si>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</si>
  <si>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</si>
  <si>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</si>
  <si>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</si>
  <si>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</si>
  <si>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</si>
  <si>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</si>
  <si>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</si>
  <si>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</si>
  <si>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</si>
  <si>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</si>
  <si>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</si>
  <si>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</si>
  <si>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</si>
  <si>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</si>
  <si>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</si>
  <si>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</si>
  <si>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</si>
  <si>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</si>
  <si>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</si>
  <si>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</si>
  <si>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</si>
  <si>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</si>
  <si>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</si>
  <si>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</si>
  <si>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</si>
  <si>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</si>
  <si>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</si>
  <si>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</si>
  <si>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</si>
  <si>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</si>
  <si>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</si>
  <si>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</si>
  <si>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</si>
  <si>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</si>
  <si>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</si>
  <si>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</si>
  <si>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</si>
  <si>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</si>
  <si>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</si>
  <si>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</si>
  <si>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</si>
  <si>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</si>
  <si>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</si>
  <si>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</si>
  <si>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</si>
  <si>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</si>
  <si>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</si>
  <si>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</si>
  <si>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</si>
  <si>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</si>
  <si>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</si>
  <si>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</si>
  <si>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</si>
  <si>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</si>
  <si>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</si>
  <si>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</si>
  <si>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</si>
  <si>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</si>
  <si>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</si>
  <si>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</si>
  <si>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</si>
  <si>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</si>
  <si>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</si>
  <si>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</si>
  <si>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</si>
  <si>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</si>
  <si>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</si>
  <si>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</si>
  <si>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</si>
  <si>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</si>
  <si>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</si>
  <si>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</si>
  <si>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</si>
  <si>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</si>
  <si>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</si>
  <si>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</si>
  <si>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</si>
  <si>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</si>
  <si>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</si>
  <si>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</si>
  <si>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</si>
  <si>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</si>
  <si>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</si>
  <si>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</si>
  <si>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</si>
  <si>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</si>
  <si>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</si>
  <si>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</si>
  <si>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</si>
  <si>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</si>
  <si>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</si>
  <si>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</si>
  <si>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</si>
  <si>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</si>
  <si>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</si>
  <si>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</si>
  <si>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</si>
  <si>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</si>
  <si>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</si>
  <si>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</si>
  <si>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</si>
  <si>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</si>
  <si>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</si>
  <si>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</si>
  <si>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</si>
  <si>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</si>
  <si>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</si>
  <si>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</si>
  <si>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</si>
  <si>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</si>
  <si>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</si>
  <si>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</si>
  <si>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</si>
  <si>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</si>
  <si>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</si>
  <si>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</si>
  <si>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</si>
  <si>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</si>
  <si>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</si>
  <si>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</si>
  <si>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</si>
  <si>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</si>
  <si>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</si>
  <si>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</si>
  <si>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</si>
  <si>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</si>
  <si>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</si>
  <si>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</si>
  <si>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</si>
  <si>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</si>
  <si>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</si>
  <si>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</si>
  <si>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</si>
  <si>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</si>
  <si>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</si>
  <si>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</si>
  <si>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</si>
  <si>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</si>
  <si>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</si>
  <si>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</si>
  <si>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</si>
  <si>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</si>
  <si>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</si>
  <si>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</si>
  <si>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</si>
  <si>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</si>
  <si>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</si>
  <si>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</si>
  <si>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</si>
  <si>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</si>
  <si>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</si>
  <si>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</si>
  <si>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</si>
  <si>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</si>
  <si>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</si>
  <si>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</si>
  <si>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</si>
  <si>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</si>
  <si>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</si>
  <si>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</si>
  <si>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</si>
  <si>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</si>
  <si>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</si>
  <si>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</si>
  <si>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</si>
  <si>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</si>
  <si>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</si>
  <si>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</si>
  <si>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</si>
  <si>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</si>
  <si>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</si>
  <si>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</si>
  <si>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</si>
  <si>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</si>
  <si>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</si>
  <si>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</si>
  <si>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</si>
  <si>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</si>
  <si>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</si>
  <si>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</si>
  <si>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</si>
  <si>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</si>
  <si>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</si>
  <si>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</si>
  <si>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</si>
  <si>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</si>
  <si>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</si>
  <si>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</si>
  <si>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</si>
  <si>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</si>
  <si>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</si>
  <si>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</si>
  <si>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</si>
  <si>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</si>
  <si>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</si>
  <si>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</si>
  <si>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</si>
  <si>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</si>
  <si>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</si>
  <si>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</si>
  <si>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</si>
  <si>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</si>
  <si>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</si>
  <si>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</si>
  <si>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</si>
  <si>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</si>
  <si>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</si>
  <si>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</si>
  <si>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</si>
  <si>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</si>
  <si>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</si>
  <si>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</si>
  <si>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</si>
  <si>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</si>
  <si>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</si>
  <si>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</si>
  <si>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</si>
  <si>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</si>
  <si>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</si>
  <si>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</si>
  <si>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</si>
  <si>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</si>
  <si>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</si>
  <si>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</si>
  <si>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</si>
  <si>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</si>
  <si>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</si>
  <si>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</si>
  <si>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</si>
  <si>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</si>
  <si>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</si>
  <si>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</si>
  <si>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</si>
  <si>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</si>
  <si>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</si>
  <si>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</si>
  <si>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</si>
  <si>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</si>
  <si>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</si>
  <si>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</si>
  <si>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</si>
  <si>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</si>
  <si>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</si>
  <si>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</si>
  <si>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</si>
  <si>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</si>
  <si>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</si>
  <si>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</si>
  <si>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</si>
  <si>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</si>
  <si>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</si>
  <si>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</si>
  <si>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</si>
  <si>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</si>
  <si>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</si>
  <si>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</si>
  <si>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</si>
  <si>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</si>
  <si>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</si>
  <si>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</si>
  <si>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</si>
  <si>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</si>
  <si>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</si>
  <si>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</si>
  <si>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</si>
  <si>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</si>
  <si>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</si>
  <si>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</si>
  <si>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</si>
  <si>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</si>
  <si>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</si>
  <si>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</si>
  <si>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</si>
  <si>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</si>
  <si>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</si>
  <si>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</si>
  <si>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</si>
  <si>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</si>
  <si>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</si>
  <si>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</si>
  <si>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</si>
  <si>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</si>
  <si>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</si>
  <si>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</si>
  <si>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</si>
  <si>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</si>
  <si>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</si>
  <si>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</si>
  <si>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</si>
  <si>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</si>
  <si>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</si>
  <si>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</si>
  <si>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</si>
  <si>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</si>
  <si>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</si>
  <si>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</si>
  <si>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</si>
  <si>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</si>
  <si>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</si>
  <si>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</si>
  <si>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</si>
  <si>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</si>
  <si>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</si>
  <si>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</si>
  <si>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</si>
  <si>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</si>
  <si>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</si>
  <si>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</si>
  <si>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</si>
  <si>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</si>
  <si>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</si>
  <si>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</si>
  <si>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</si>
  <si>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</si>
  <si>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</si>
  <si>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</si>
  <si>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</si>
  <si>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</si>
  <si>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</si>
  <si>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</si>
  <si>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</si>
  <si>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</si>
  <si>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</si>
  <si>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</si>
  <si>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</si>
  <si>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</si>
  <si>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</si>
  <si>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</si>
  <si>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</si>
  <si>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</si>
  <si>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</si>
  <si>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</si>
  <si>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</si>
  <si>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</si>
  <si>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</si>
  <si>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</si>
  <si>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</si>
  <si>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</si>
  <si>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</si>
  <si>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</si>
  <si>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</si>
  <si>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</si>
  <si>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</si>
  <si>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</si>
  <si>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</si>
  <si>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</si>
  <si>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</si>
  <si>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</si>
  <si>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</si>
  <si>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</si>
  <si>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</si>
  <si>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</si>
  <si>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</si>
  <si>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</si>
  <si>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</si>
  <si>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</si>
  <si>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</si>
  <si>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</si>
  <si>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</si>
  <si>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</si>
  <si>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</si>
  <si>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</si>
  <si>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</si>
  <si>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</si>
  <si>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</si>
  <si>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</si>
  <si>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</si>
  <si>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</si>
  <si>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</si>
  <si>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</si>
  <si>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</si>
  <si>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</si>
  <si>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</si>
  <si>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</si>
  <si>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</si>
  <si>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</si>
  <si>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</si>
  <si>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</si>
  <si>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</si>
  <si>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</si>
  <si>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</si>
  <si>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</si>
  <si>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</si>
  <si>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</si>
  <si>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</si>
  <si>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</si>
  <si>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</si>
  <si>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</si>
  <si>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</si>
  <si>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</si>
  <si>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</si>
  <si>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</si>
  <si>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</si>
  <si>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</si>
  <si>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</si>
  <si>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</si>
  <si>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</si>
  <si>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</si>
  <si>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</si>
  <si>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</si>
  <si>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</si>
  <si>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</si>
  <si>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</si>
  <si>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</si>
  <si>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</si>
  <si>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</si>
  <si>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</si>
  <si>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</si>
  <si>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</si>
  <si>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</si>
  <si>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</si>
  <si>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</si>
  <si>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</si>
  <si>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</si>
  <si>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</si>
  <si>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</si>
  <si>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</si>
  <si>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</si>
  <si>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</si>
  <si>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</si>
  <si>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</si>
  <si>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</si>
  <si>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</si>
  <si>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</si>
  <si>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</si>
  <si>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</si>
  <si>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</si>
  <si>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</si>
  <si>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</si>
  <si>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</si>
  <si>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</si>
  <si>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</si>
  <si>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</si>
  <si>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</si>
  <si>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</si>
  <si>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</si>
  <si>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</si>
  <si>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</si>
  <si>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</si>
  <si>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</si>
  <si>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</si>
  <si>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</si>
  <si>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</si>
  <si>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</si>
  <si>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</si>
  <si>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</si>
  <si>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</si>
  <si>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</si>
  <si>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</si>
  <si>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</si>
  <si>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</si>
  <si>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</si>
  <si>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</si>
  <si>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</si>
  <si>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</si>
  <si>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</si>
  <si>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</si>
  <si>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</si>
  <si>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</si>
  <si>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</si>
  <si>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</si>
  <si>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</si>
  <si>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</si>
  <si>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</si>
  <si>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</si>
  <si>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</si>
  <si>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زاگرس 6770 تا 17700.2</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</si>
  <si>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</si>
  <si>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</si>
  <si>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</si>
  <si>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</si>
  <si>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</si>
  <si>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</si>
  <si>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</si>
  <si>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</si>
  <si>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</si>
  <si>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</si>
  <si>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</si>
  <si>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</si>
  <si>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</si>
  <si>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</si>
  <si>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</si>
  <si>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</si>
  <si>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</si>
  <si>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</si>
  <si>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</si>
  <si>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</si>
  <si>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</si>
  <si>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</si>
  <si>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</si>
  <si>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</si>
  <si>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</si>
  <si>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</si>
  <si>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</si>
  <si>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</si>
  <si>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</si>
  <si>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</si>
  <si>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</si>
  <si>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</si>
  <si>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</si>
  <si>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</si>
  <si>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</si>
  <si>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</si>
  <si>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</si>
  <si>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</si>
  <si>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</si>
  <si>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</si>
  <si>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</si>
  <si>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</si>
  <si>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</si>
  <si>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</si>
  <si>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</si>
  <si>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</si>
  <si>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</si>
  <si>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</si>
  <si>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</si>
  <si>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</si>
  <si>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</si>
  <si>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</si>
  <si>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</si>
  <si>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</si>
  <si>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</si>
  <si>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</si>
  <si>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</si>
  <si>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</si>
  <si>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</si>
  <si>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</si>
  <si>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</si>
  <si>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</si>
  <si>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</si>
  <si>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</si>
  <si>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</si>
  <si>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</si>
  <si>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</si>
  <si>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</si>
  <si>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</si>
  <si>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</si>
  <si>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</si>
  <si>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</si>
  <si>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</si>
  <si>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</si>
  <si>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</si>
  <si>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</si>
  <si>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</si>
  <si>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</si>
  <si>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</si>
  <si>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</si>
  <si>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</si>
  <si>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</si>
  <si>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</si>
  <si>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</si>
  <si>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</si>
  <si>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</si>
  <si>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</si>
  <si>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</si>
  <si>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</si>
  <si>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</si>
  <si>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</si>
  <si>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</si>
  <si>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</si>
  <si>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</si>
  <si>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طلب از مداحی 8/7/1399</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</si>
  <si>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</si>
  <si>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</si>
  <si>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</si>
  <si>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</si>
  <si>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</si>
  <si>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</si>
  <si>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</si>
  <si>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</si>
  <si>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</si>
  <si>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</si>
  <si>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پارس 3209 تا 17019</t>
  </si>
  <si>
    <t>14/7/1399</t>
  </si>
  <si>
    <t>وغدیر 2971 تا 1530</t>
  </si>
  <si>
    <t>پارس 4135 تا 16861.1</t>
  </si>
  <si>
    <t>15/7/1399</t>
  </si>
  <si>
    <t>زاگرس 3686 تا 17381.7</t>
  </si>
  <si>
    <t>16/7/1399</t>
  </si>
  <si>
    <t xml:space="preserve">زاگرس 24953 تا </t>
  </si>
  <si>
    <t>وغدیر 32899 تا</t>
  </si>
  <si>
    <t>پارس 6853 تا</t>
  </si>
  <si>
    <t>19/7/1399</t>
  </si>
  <si>
    <t>20/7/1399</t>
  </si>
  <si>
    <t>زاگرس 7535 تا</t>
  </si>
  <si>
    <t>وغدیر 530747 تا 1567.4</t>
  </si>
  <si>
    <t>زاگرس 8600 تا 17931.9</t>
  </si>
  <si>
    <t>پارس 1128 تا  15778.3</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</si>
  <si>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</si>
  <si>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</si>
  <si>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</si>
  <si>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</si>
  <si>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</si>
  <si>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</si>
  <si>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</si>
  <si>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</si>
  <si>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</si>
  <si>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</si>
  <si>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</si>
  <si>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</si>
  <si>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</si>
  <si>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</si>
  <si>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</si>
  <si>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وغدیر 189767 تا</t>
  </si>
  <si>
    <t>29/7/1399</t>
  </si>
  <si>
    <t>وغدیر 330820 تا 1328</t>
  </si>
  <si>
    <t>زاگرس 4469</t>
  </si>
  <si>
    <t>30/7/1399</t>
  </si>
  <si>
    <t>وغدیر 200791 تا</t>
  </si>
  <si>
    <t>پارس 9277 تا 15939.8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</si>
</sst>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21" fillId="8" borderId="0" xfId="0" applyFont="1" applyFill="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3" fillId="0" borderId="0" xfId="0" applyFont="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2"/>
  <sheetViews>
    <sheetView topLeftCell="C80" zoomScale="80" zoomScaleNormal="80" workbookViewId="0">
      <selection activeCell="J95" sqref="J95"/>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5381</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5382</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5384</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5383</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5440</v>
      </c>
      <c r="B77" s="119" t="s">
        <v>4376</v>
      </c>
      <c r="C77" s="77">
        <v>1348.1</v>
      </c>
      <c r="D77" s="119">
        <v>22264</v>
      </c>
      <c r="E77" s="287" t="s">
        <v>4363</v>
      </c>
      <c r="F77" s="288">
        <v>7159.6</v>
      </c>
      <c r="G77" s="119">
        <f>C77*D77*0.99025/(F77*1.00464)</f>
        <v>4132.100996929863</v>
      </c>
      <c r="H77" s="218">
        <f t="shared" ref="H77:H101" si="8">C77/F77</f>
        <v>0.18829264204704171</v>
      </c>
      <c r="I77" s="305">
        <f t="shared" si="7"/>
        <v>5.3108819820488105</v>
      </c>
      <c r="J77" s="97"/>
      <c r="K77" s="97"/>
      <c r="L77" s="97"/>
      <c r="M77" s="97"/>
      <c r="N77" s="97"/>
      <c r="O77" s="94"/>
      <c r="P77" s="94"/>
      <c r="Q77" s="94"/>
      <c r="R77" s="94"/>
      <c r="S77" s="94"/>
      <c r="T77" s="94"/>
    </row>
    <row r="78" spans="1:20">
      <c r="A78" s="119" t="s">
        <v>5440</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5446</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5448</v>
      </c>
      <c r="B80" s="119" t="s">
        <v>4376</v>
      </c>
      <c r="C80" s="77">
        <v>1509.3</v>
      </c>
      <c r="D80" s="119">
        <v>2000</v>
      </c>
      <c r="E80" s="287" t="s">
        <v>4363</v>
      </c>
      <c r="F80" s="288">
        <v>7614.2</v>
      </c>
      <c r="G80" s="119">
        <f>C80*D80*0.99025/(F80*1.00464)</f>
        <v>390.76501350614762</v>
      </c>
      <c r="H80" s="218">
        <f t="shared" si="8"/>
        <v>0.19822174358435554</v>
      </c>
      <c r="I80" s="305">
        <f t="shared" ref="I80:I101" si="9">F80/C80</f>
        <v>5.0448552309017423</v>
      </c>
      <c r="J80" s="97"/>
      <c r="K80" s="97"/>
      <c r="L80" s="289">
        <f>49/1044.7</f>
        <v>4.6903417248970992E-2</v>
      </c>
      <c r="M80" s="289">
        <f>1-L80</f>
        <v>0.95309658275102904</v>
      </c>
      <c r="N80" s="97"/>
      <c r="O80" s="94"/>
      <c r="P80" s="94"/>
      <c r="Q80" s="94"/>
      <c r="R80" s="94"/>
      <c r="S80" s="94"/>
      <c r="T80" s="94"/>
    </row>
    <row r="81" spans="1:25">
      <c r="A81" s="289" t="s">
        <v>5462</v>
      </c>
      <c r="B81" s="289" t="s">
        <v>4221</v>
      </c>
      <c r="C81" s="291">
        <f>689.1*M80</f>
        <v>656.77885517373409</v>
      </c>
      <c r="D81" s="289">
        <v>10732</v>
      </c>
      <c r="E81" s="292" t="s">
        <v>4489</v>
      </c>
      <c r="F81" s="47">
        <v>2696.3</v>
      </c>
      <c r="G81" s="289">
        <f t="shared" ref="G81:G105"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5465</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t="s">
        <v>25</v>
      </c>
      <c r="S82" s="94"/>
      <c r="T82" s="94"/>
    </row>
    <row r="83" spans="1:25">
      <c r="A83" s="119" t="s">
        <v>5456</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5456</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5456</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t="s">
        <v>25</v>
      </c>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120" t="s">
        <v>25</v>
      </c>
      <c r="T86" s="94"/>
    </row>
    <row r="87" spans="1:25">
      <c r="A87" s="326" t="s">
        <v>5784</v>
      </c>
      <c r="B87" s="60" t="s">
        <v>4359</v>
      </c>
      <c r="C87" s="49">
        <v>16221</v>
      </c>
      <c r="D87" s="60">
        <v>3928</v>
      </c>
      <c r="E87" s="287" t="s">
        <v>4363</v>
      </c>
      <c r="F87" s="288">
        <v>17260.8</v>
      </c>
      <c r="G87" s="287">
        <f t="shared" ref="G87" si="13">C87*D87*0.99114/(F87*1.0037158)</f>
        <v>3645.1249998370631</v>
      </c>
      <c r="H87" s="327">
        <f>C87/F87</f>
        <v>0.93975945494994439</v>
      </c>
      <c r="I87" s="328">
        <f>F87/C87</f>
        <v>1.0641020898834843</v>
      </c>
      <c r="J87" s="20"/>
      <c r="K87" s="20">
        <v>1</v>
      </c>
      <c r="L87" s="20"/>
      <c r="M87" s="20"/>
      <c r="N87" s="20"/>
      <c r="O87" s="94" t="s">
        <v>25</v>
      </c>
      <c r="P87" s="94" t="s">
        <v>25</v>
      </c>
      <c r="Q87" s="94"/>
      <c r="R87" s="94" t="s">
        <v>25</v>
      </c>
      <c r="S87" s="94" t="s">
        <v>25</v>
      </c>
      <c r="T87" s="94"/>
    </row>
    <row r="88" spans="1:25">
      <c r="A88" s="326" t="s">
        <v>5786</v>
      </c>
      <c r="B88" s="60" t="s">
        <v>4359</v>
      </c>
      <c r="C88" s="49">
        <v>16030.2</v>
      </c>
      <c r="D88" s="60">
        <v>391</v>
      </c>
      <c r="E88" s="287" t="s">
        <v>4363</v>
      </c>
      <c r="F88" s="288">
        <v>17117.400000000001</v>
      </c>
      <c r="G88" s="287">
        <f t="shared" ref="G88" si="14">C88*D88*0.99114/(F88*1.0037158)</f>
        <v>361.57811950100222</v>
      </c>
      <c r="H88" s="327">
        <f>C88/F88</f>
        <v>0.93648568123663634</v>
      </c>
      <c r="I88" s="328">
        <f>F88/C88</f>
        <v>1.0678219860014224</v>
      </c>
      <c r="J88" s="20"/>
      <c r="K88" s="20">
        <f>H88/H87</f>
        <v>0.99651637054986331</v>
      </c>
      <c r="L88" s="20"/>
      <c r="M88" s="20"/>
      <c r="N88" s="20"/>
      <c r="O88" s="94"/>
      <c r="P88" s="94"/>
      <c r="Q88" s="94" t="s">
        <v>25</v>
      </c>
      <c r="R88" s="112"/>
      <c r="S88" s="94" t="s">
        <v>25</v>
      </c>
      <c r="T88" s="94"/>
    </row>
    <row r="89" spans="1:25">
      <c r="A89" s="60"/>
      <c r="B89" s="60"/>
      <c r="C89" s="49"/>
      <c r="D89" s="60"/>
      <c r="E89" s="287"/>
      <c r="F89" s="288"/>
      <c r="G89" s="287" t="e">
        <f t="shared" ref="G89" si="15">C89*D89*0.99114/(F89*1.0037158)</f>
        <v>#DIV/0!</v>
      </c>
      <c r="H89" s="327" t="e">
        <f t="shared" ref="H89" si="16">C89/F89</f>
        <v>#DIV/0!</v>
      </c>
      <c r="I89" s="328" t="e">
        <f t="shared" ref="I89" si="17">F89/C89</f>
        <v>#DIV/0!</v>
      </c>
      <c r="J89" s="20"/>
      <c r="K89" s="20" t="e">
        <f>H89/H88</f>
        <v>#DIV/0!</v>
      </c>
      <c r="L89" s="20"/>
      <c r="M89" s="20"/>
      <c r="N89" s="20"/>
      <c r="O89" s="94"/>
      <c r="P89" s="94" t="s">
        <v>25</v>
      </c>
      <c r="Q89" s="94" t="s">
        <v>25</v>
      </c>
      <c r="R89" s="112" t="s">
        <v>25</v>
      </c>
      <c r="S89" s="94"/>
      <c r="T89" s="94"/>
    </row>
    <row r="90" spans="1:25">
      <c r="A90" s="60"/>
      <c r="B90" s="60" t="s">
        <v>4359</v>
      </c>
      <c r="C90" s="49">
        <f>C126</f>
        <v>14800</v>
      </c>
      <c r="D90" s="60">
        <v>1</v>
      </c>
      <c r="E90" s="287" t="s">
        <v>4363</v>
      </c>
      <c r="F90" s="288">
        <f>C125</f>
        <v>15800</v>
      </c>
      <c r="G90" s="287">
        <f>C90*D90*0.99114/(F90*1.0037158)</f>
        <v>0.92497260703992568</v>
      </c>
      <c r="H90" s="327">
        <f>C90/F90</f>
        <v>0.93670886075949367</v>
      </c>
      <c r="I90" s="328">
        <f>F90/C90</f>
        <v>1.0675675675675675</v>
      </c>
      <c r="J90" s="20"/>
      <c r="K90" s="20">
        <f>H90/H88</f>
        <v>1.0002383160013324</v>
      </c>
      <c r="L90" s="20">
        <f>(1/K90-1.0256)*100</f>
        <v>-2.583825922034777</v>
      </c>
      <c r="M90" s="20"/>
      <c r="N90" s="20"/>
      <c r="O90" s="94" t="s">
        <v>25</v>
      </c>
      <c r="P90" s="94"/>
      <c r="Q90" s="94"/>
      <c r="R90" s="112"/>
      <c r="S90" s="94"/>
      <c r="T90" s="94"/>
    </row>
    <row r="91" spans="1:25">
      <c r="A91" s="298"/>
      <c r="B91" s="298"/>
      <c r="C91" s="299"/>
      <c r="D91" s="298"/>
      <c r="E91" s="298"/>
      <c r="F91" s="299"/>
      <c r="G91" s="298"/>
      <c r="H91" s="300"/>
      <c r="I91" s="307"/>
      <c r="J91" s="298"/>
      <c r="K91" s="298"/>
      <c r="L91" s="298"/>
      <c r="M91" s="298"/>
      <c r="N91" s="20"/>
      <c r="O91" s="94" t="s">
        <v>25</v>
      </c>
      <c r="P91" s="94" t="s">
        <v>25</v>
      </c>
      <c r="Q91" s="94" t="s">
        <v>25</v>
      </c>
      <c r="R91" s="94"/>
      <c r="S91" s="94"/>
      <c r="T91" s="94"/>
    </row>
    <row r="92" spans="1:25">
      <c r="A92" s="289" t="s">
        <v>5589</v>
      </c>
      <c r="B92" s="289" t="s">
        <v>4221</v>
      </c>
      <c r="C92" s="291">
        <v>1493</v>
      </c>
      <c r="D92" s="289">
        <v>4500</v>
      </c>
      <c r="E92" s="60" t="s">
        <v>4359</v>
      </c>
      <c r="F92" s="49">
        <v>15340</v>
      </c>
      <c r="G92" s="289">
        <f t="shared" ref="G92" si="18">C92*D92*0.99025/(F92*1.0046399)</f>
        <v>431.69934575452544</v>
      </c>
      <c r="H92" s="290">
        <f t="shared" ref="H92" si="19">C92/F92</f>
        <v>9.7327249022164275E-2</v>
      </c>
      <c r="I92" s="306">
        <f t="shared" ref="I92" si="20">F92/C92</f>
        <v>10.274614869390488</v>
      </c>
      <c r="J92" s="20"/>
      <c r="K92" s="20">
        <v>1</v>
      </c>
      <c r="L92" s="20"/>
      <c r="M92" s="20"/>
      <c r="N92" s="97"/>
      <c r="O92" s="94"/>
      <c r="P92" s="94"/>
      <c r="Q92" s="94"/>
      <c r="R92" s="94"/>
      <c r="S92" s="94"/>
      <c r="T92" s="94"/>
    </row>
    <row r="93" spans="1:25">
      <c r="A93" s="289" t="s">
        <v>5596</v>
      </c>
      <c r="B93" s="289" t="s">
        <v>4221</v>
      </c>
      <c r="C93" s="291">
        <v>1550.45</v>
      </c>
      <c r="D93" s="289">
        <v>110172</v>
      </c>
      <c r="E93" s="60" t="s">
        <v>4359</v>
      </c>
      <c r="F93" s="49">
        <v>16048</v>
      </c>
      <c r="G93" s="289">
        <f t="shared" ref="G93" si="21">C93*D93*0.99025/(F93*1.0046399)</f>
        <v>10491.61901906387</v>
      </c>
      <c r="H93" s="290">
        <f t="shared" ref="H93" si="22">C93/F93</f>
        <v>9.661328514456631E-2</v>
      </c>
      <c r="I93" s="306">
        <f t="shared" ref="I93" si="23">F93/C93</f>
        <v>10.350543390628527</v>
      </c>
      <c r="J93" s="20"/>
      <c r="K93" s="20">
        <f>H93/H92</f>
        <v>0.99266429612702423</v>
      </c>
      <c r="L93" s="20"/>
      <c r="M93" s="20"/>
      <c r="N93" s="97"/>
      <c r="O93" s="94"/>
      <c r="P93" s="94"/>
      <c r="Q93" s="94"/>
      <c r="R93" s="97" t="s">
        <v>1071</v>
      </c>
      <c r="S93" s="97"/>
      <c r="T93" s="97"/>
      <c r="U93" s="97"/>
      <c r="V93" s="97"/>
      <c r="W93" s="97"/>
      <c r="X93" s="97"/>
      <c r="Y93" s="97"/>
    </row>
    <row r="94" spans="1:25">
      <c r="A94" s="289" t="s">
        <v>5597</v>
      </c>
      <c r="B94" s="289" t="s">
        <v>4221</v>
      </c>
      <c r="C94" s="291">
        <v>1623.7</v>
      </c>
      <c r="D94" s="289">
        <v>3789</v>
      </c>
      <c r="E94" s="60" t="s">
        <v>4359</v>
      </c>
      <c r="F94" s="49">
        <v>15913</v>
      </c>
      <c r="G94" s="289">
        <f t="shared" ref="G94" si="24">C94*D94*0.99025/(F94*1.0046399)</f>
        <v>381.07702119970565</v>
      </c>
      <c r="H94" s="290">
        <f t="shared" ref="H94" si="25">C94/F94</f>
        <v>0.10203607113680639</v>
      </c>
      <c r="I94" s="306">
        <f t="shared" ref="I94" si="26">F94/C94</f>
        <v>9.8004557492147555</v>
      </c>
      <c r="J94" s="20" t="s">
        <v>25</v>
      </c>
      <c r="K94" s="20">
        <f>H94/H93</f>
        <v>1.0561287817107736</v>
      </c>
      <c r="L94" s="97"/>
      <c r="M94" s="97"/>
      <c r="N94" s="97"/>
      <c r="O94" s="94"/>
      <c r="P94" s="94"/>
      <c r="Q94" s="94"/>
      <c r="R94" s="97"/>
      <c r="S94" s="97"/>
      <c r="T94" s="97" t="s">
        <v>922</v>
      </c>
      <c r="U94" s="97" t="s">
        <v>925</v>
      </c>
      <c r="V94" s="97" t="s">
        <v>5434</v>
      </c>
      <c r="W94" s="67" t="s">
        <v>1220</v>
      </c>
      <c r="X94" s="67" t="s">
        <v>926</v>
      </c>
      <c r="Y94" s="67" t="s">
        <v>5459</v>
      </c>
    </row>
    <row r="95" spans="1:25">
      <c r="A95" s="289" t="s">
        <v>5767</v>
      </c>
      <c r="B95" s="289" t="s">
        <v>4221</v>
      </c>
      <c r="C95" s="291">
        <v>1588.4</v>
      </c>
      <c r="D95" s="289">
        <v>8470</v>
      </c>
      <c r="E95" s="60" t="s">
        <v>4359</v>
      </c>
      <c r="F95" s="49">
        <v>15778</v>
      </c>
      <c r="G95" s="323">
        <f t="shared" ref="G95:G97" si="27">C95*D95*0.99114/(F95*1.0037158)</f>
        <v>842.00676326550888</v>
      </c>
      <c r="H95" s="290">
        <f t="shared" ref="H95" si="28">C95/F95</f>
        <v>0.10067182152364051</v>
      </c>
      <c r="I95" s="306">
        <f t="shared" ref="I95" si="29">F95/C95</f>
        <v>9.9332661798035762</v>
      </c>
      <c r="J95" s="20"/>
      <c r="K95" s="20">
        <f t="shared" ref="K95:K96" si="30">H95/H94</f>
        <v>0.98662973203528448</v>
      </c>
      <c r="L95" s="94" t="s">
        <v>25</v>
      </c>
      <c r="M95" s="97"/>
      <c r="N95" s="97"/>
      <c r="O95" s="94"/>
      <c r="P95" s="94"/>
      <c r="Q95" s="94"/>
      <c r="R95" s="97"/>
      <c r="S95" s="97" t="s">
        <v>4363</v>
      </c>
      <c r="T95" s="97">
        <v>874</v>
      </c>
      <c r="U95" s="115">
        <v>6337102</v>
      </c>
      <c r="V95" s="115">
        <f>U95/T95</f>
        <v>7250.6887871853551</v>
      </c>
      <c r="W95" s="115">
        <f>V95*1.01</f>
        <v>7323.195675057209</v>
      </c>
      <c r="X95" s="97">
        <f>'برنامه 5 ساله'!P44</f>
        <v>15700</v>
      </c>
      <c r="Y95" s="115">
        <f>T95*X95</f>
        <v>13721800</v>
      </c>
    </row>
    <row r="96" spans="1:25">
      <c r="A96" s="289" t="s">
        <v>5770</v>
      </c>
      <c r="B96" s="289" t="s">
        <v>4221</v>
      </c>
      <c r="C96" s="291">
        <v>1605.4</v>
      </c>
      <c r="D96" s="289">
        <v>199257</v>
      </c>
      <c r="E96" s="60" t="s">
        <v>4359</v>
      </c>
      <c r="F96" s="49">
        <v>15939.8</v>
      </c>
      <c r="G96" s="323">
        <f t="shared" si="27"/>
        <v>19817.014217500837</v>
      </c>
      <c r="H96" s="290">
        <f t="shared" ref="H96:H97" si="31">C96/F96</f>
        <v>0.10071644562667036</v>
      </c>
      <c r="I96" s="306">
        <f t="shared" ref="I96:I97" si="32">F96/C96</f>
        <v>9.9288650803538054</v>
      </c>
      <c r="J96" s="20"/>
      <c r="K96" s="20">
        <f t="shared" si="30"/>
        <v>1.0004432630934303</v>
      </c>
      <c r="L96" s="94" t="s">
        <v>25</v>
      </c>
      <c r="M96" s="97"/>
      <c r="N96" s="97"/>
      <c r="R96" s="97"/>
      <c r="S96" s="97" t="s">
        <v>4221</v>
      </c>
      <c r="T96" s="97">
        <v>295000</v>
      </c>
      <c r="U96" s="115">
        <v>148594302</v>
      </c>
      <c r="V96" s="115">
        <f>U96/T96</f>
        <v>503.70949830508476</v>
      </c>
      <c r="W96" s="115">
        <f>V96*1.01</f>
        <v>508.74659328813561</v>
      </c>
      <c r="X96" s="97">
        <f>'برنامه 5 ساله'!P28</f>
        <v>1287</v>
      </c>
      <c r="Y96" s="115">
        <f>T96*X96</f>
        <v>379665000</v>
      </c>
    </row>
    <row r="97" spans="1:27">
      <c r="A97" s="289"/>
      <c r="B97" s="289"/>
      <c r="C97" s="291" t="s">
        <v>25</v>
      </c>
      <c r="D97" s="289" t="s">
        <v>25</v>
      </c>
      <c r="E97" s="60"/>
      <c r="F97" s="49"/>
      <c r="G97" s="323" t="e">
        <f t="shared" si="27"/>
        <v>#VALUE!</v>
      </c>
      <c r="H97" s="290" t="e">
        <f t="shared" si="31"/>
        <v>#VALUE!</v>
      </c>
      <c r="I97" s="306" t="e">
        <f t="shared" si="32"/>
        <v>#VALUE!</v>
      </c>
      <c r="J97" s="20"/>
      <c r="K97" s="20" t="e">
        <f>H97/#REF!</f>
        <v>#VALUE!</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c r="B98" s="289"/>
      <c r="C98" s="291">
        <f>C124</f>
        <v>1300</v>
      </c>
      <c r="D98" s="289">
        <v>1</v>
      </c>
      <c r="E98" s="60" t="s">
        <v>4359</v>
      </c>
      <c r="F98" s="49">
        <f>C126</f>
        <v>14800</v>
      </c>
      <c r="G98" s="289">
        <f t="shared" ref="G98" si="33">C98*D98*0.99114/(F98*1.0037158)</f>
        <v>8.6737296149562049E-2</v>
      </c>
      <c r="H98" s="290">
        <f>C98/F98</f>
        <v>8.7837837837837843E-2</v>
      </c>
      <c r="I98" s="306">
        <f>F98/C98</f>
        <v>11.384615384615385</v>
      </c>
      <c r="J98" s="97"/>
      <c r="K98" s="97">
        <f>H98/H96</f>
        <v>0.87213004084188828</v>
      </c>
      <c r="L98" s="97">
        <f>(1/K98-1.0256)*100</f>
        <v>12.101799636517008</v>
      </c>
      <c r="M98" s="97"/>
      <c r="N98" s="97"/>
      <c r="O98" t="s">
        <v>25</v>
      </c>
      <c r="R98" s="97" t="s">
        <v>5433</v>
      </c>
      <c r="S98" s="97" t="s">
        <v>5334</v>
      </c>
      <c r="T98" s="97">
        <v>0</v>
      </c>
      <c r="U98" s="115">
        <v>683292</v>
      </c>
      <c r="V98" s="115"/>
      <c r="W98" s="115"/>
      <c r="X98" s="97" t="e">
        <f>'برنامه 5 ساله'!#REF!</f>
        <v>#REF!</v>
      </c>
      <c r="Y98" s="115">
        <f>U98</f>
        <v>683292</v>
      </c>
    </row>
    <row r="99" spans="1:27">
      <c r="A99" s="298"/>
      <c r="B99" s="298"/>
      <c r="C99" s="299"/>
      <c r="D99" s="298"/>
      <c r="E99" s="298"/>
      <c r="F99" s="299"/>
      <c r="G99" s="298"/>
      <c r="H99" s="300"/>
      <c r="I99" s="307"/>
      <c r="J99" s="298"/>
      <c r="K99" s="298"/>
      <c r="L99" s="298"/>
      <c r="M99" s="298"/>
      <c r="N99" s="97"/>
      <c r="R99" s="97" t="s">
        <v>5433</v>
      </c>
      <c r="S99" s="97" t="s">
        <v>4521</v>
      </c>
      <c r="T99" s="97">
        <v>0</v>
      </c>
      <c r="U99" s="115">
        <v>270969</v>
      </c>
      <c r="V99" s="115"/>
      <c r="W99" s="115"/>
      <c r="X99" s="97">
        <v>1500</v>
      </c>
      <c r="Y99" s="115">
        <f>U99</f>
        <v>270969</v>
      </c>
      <c r="AA99" t="s">
        <v>25</v>
      </c>
    </row>
    <row r="100" spans="1:27" ht="18.75">
      <c r="A100" s="289" t="s">
        <v>5453</v>
      </c>
      <c r="B100" s="289" t="s">
        <v>4221</v>
      </c>
      <c r="C100" s="291">
        <v>591</v>
      </c>
      <c r="D100" s="289">
        <v>10061</v>
      </c>
      <c r="E100" s="287" t="s">
        <v>4363</v>
      </c>
      <c r="F100" s="288">
        <v>7941</v>
      </c>
      <c r="G100" s="296">
        <f>C100*D100*0.99025/(F100*1.0046399)</f>
        <v>738.05353120447069</v>
      </c>
      <c r="H100" s="295">
        <f t="shared" si="8"/>
        <v>7.4423876086135252E-2</v>
      </c>
      <c r="I100" s="306">
        <f t="shared" si="9"/>
        <v>13.436548223350254</v>
      </c>
      <c r="J100" s="97" t="s">
        <v>452</v>
      </c>
      <c r="K100" s="308">
        <v>1</v>
      </c>
      <c r="L100" s="97"/>
      <c r="M100" s="97" t="s">
        <v>25</v>
      </c>
      <c r="N100" s="97"/>
      <c r="R100" s="97"/>
      <c r="S100" s="97"/>
      <c r="T100" s="97"/>
      <c r="U100" s="115"/>
      <c r="V100" s="115"/>
      <c r="W100" s="97"/>
      <c r="X100" s="97"/>
      <c r="Y100" s="97"/>
    </row>
    <row r="101" spans="1:27" ht="18.75">
      <c r="A101" s="289" t="s">
        <v>5454</v>
      </c>
      <c r="B101" s="289" t="s">
        <v>4221</v>
      </c>
      <c r="C101" s="291">
        <v>612</v>
      </c>
      <c r="D101" s="289">
        <v>27000</v>
      </c>
      <c r="E101" s="287" t="s">
        <v>4363</v>
      </c>
      <c r="F101" s="288">
        <v>7835</v>
      </c>
      <c r="G101" s="296">
        <f t="shared" si="10"/>
        <v>2078.7899765676852</v>
      </c>
      <c r="H101" s="295">
        <f t="shared" si="8"/>
        <v>7.8111040204211876E-2</v>
      </c>
      <c r="I101" s="306">
        <f t="shared" si="9"/>
        <v>12.802287581699346</v>
      </c>
      <c r="J101" s="97"/>
      <c r="K101" s="308">
        <f>H101/H100</f>
        <v>1.0495427584799433</v>
      </c>
      <c r="L101" s="97"/>
      <c r="M101" s="97"/>
      <c r="N101" s="97"/>
      <c r="O101" t="s">
        <v>25</v>
      </c>
      <c r="R101" s="97"/>
      <c r="S101" s="97"/>
      <c r="T101" s="97"/>
      <c r="U101" s="115"/>
      <c r="V101" s="115"/>
      <c r="W101" s="97"/>
      <c r="X101" s="97"/>
      <c r="Y101" s="97"/>
    </row>
    <row r="102" spans="1:27" ht="18.75">
      <c r="A102" s="289" t="s">
        <v>5462</v>
      </c>
      <c r="B102" s="289" t="s">
        <v>4221</v>
      </c>
      <c r="C102" s="291">
        <v>657</v>
      </c>
      <c r="D102" s="289">
        <v>76080</v>
      </c>
      <c r="E102" s="287" t="s">
        <v>4363</v>
      </c>
      <c r="F102" s="288">
        <v>8202</v>
      </c>
      <c r="G102" s="296">
        <f>C102*D102*0.99025/(F102*1.0046399)</f>
        <v>6006.9018679031451</v>
      </c>
      <c r="H102" s="295">
        <f>C102/F102</f>
        <v>8.0102414045354786E-2</v>
      </c>
      <c r="I102" s="306">
        <f>F102/C102</f>
        <v>12.484018264840183</v>
      </c>
      <c r="J102" s="97" t="s">
        <v>452</v>
      </c>
      <c r="K102" s="308">
        <f t="shared" ref="K102:K112" si="34">H102/H101</f>
        <v>1.0254941405969848</v>
      </c>
      <c r="L102" s="97" t="s">
        <v>25</v>
      </c>
      <c r="M102" s="97"/>
      <c r="N102" s="97"/>
      <c r="P102" t="s">
        <v>25</v>
      </c>
      <c r="Q102" t="s">
        <v>25</v>
      </c>
      <c r="R102" s="97"/>
      <c r="S102" s="97"/>
      <c r="T102" s="97"/>
      <c r="U102" s="115">
        <v>159900000</v>
      </c>
      <c r="V102" s="115"/>
      <c r="W102" s="97"/>
      <c r="X102" s="97"/>
      <c r="Y102" s="93">
        <f>SUM(Y95:Y99)</f>
        <v>401751061</v>
      </c>
    </row>
    <row r="103" spans="1:27" ht="18.75">
      <c r="A103" s="289" t="s">
        <v>4821</v>
      </c>
      <c r="B103" s="289" t="s">
        <v>4221</v>
      </c>
      <c r="C103" s="291">
        <v>626.4</v>
      </c>
      <c r="D103" s="289">
        <v>15063</v>
      </c>
      <c r="E103" s="287" t="s">
        <v>4363</v>
      </c>
      <c r="F103" s="288">
        <v>7808</v>
      </c>
      <c r="G103" s="296">
        <f>C103*D103*0.99025/(F103*1.0046399)</f>
        <v>1191.1263963477256</v>
      </c>
      <c r="H103" s="295">
        <f>C103/F103</f>
        <v>8.0225409836065575E-2</v>
      </c>
      <c r="I103" s="306">
        <f>F103/C103</f>
        <v>12.464878671775224</v>
      </c>
      <c r="J103" s="97" t="s">
        <v>744</v>
      </c>
      <c r="K103" s="308">
        <f t="shared" si="34"/>
        <v>1.001535481697732</v>
      </c>
      <c r="L103" s="97"/>
      <c r="M103" s="97"/>
      <c r="N103" s="97"/>
      <c r="O103" t="s">
        <v>25</v>
      </c>
      <c r="R103" s="97"/>
      <c r="S103" s="97"/>
      <c r="T103" s="97"/>
      <c r="U103" s="115"/>
      <c r="V103" s="115"/>
      <c r="W103" s="97"/>
      <c r="X103" s="97"/>
      <c r="Y103" s="97"/>
    </row>
    <row r="104" spans="1:27" ht="18.75">
      <c r="A104" s="289" t="s">
        <v>5456</v>
      </c>
      <c r="B104" s="289" t="s">
        <v>4221</v>
      </c>
      <c r="C104" s="291">
        <v>626.4</v>
      </c>
      <c r="D104" s="289">
        <v>128144</v>
      </c>
      <c r="E104" s="287" t="s">
        <v>4363</v>
      </c>
      <c r="F104" s="288">
        <v>7807</v>
      </c>
      <c r="G104" s="296">
        <f>C104*D104*0.99025/(F104*1.0046399)</f>
        <v>10134.452105643004</v>
      </c>
      <c r="H104" s="295">
        <f>C104/F104</f>
        <v>8.023568592288971E-2</v>
      </c>
      <c r="I104" s="306">
        <f>F104/C104</f>
        <v>12.463282247765006</v>
      </c>
      <c r="J104" s="97" t="s">
        <v>452</v>
      </c>
      <c r="K104" s="308">
        <f t="shared" si="34"/>
        <v>1.0001280901754834</v>
      </c>
      <c r="L104" s="97"/>
      <c r="M104" s="97"/>
      <c r="N104" s="97"/>
      <c r="P104" t="s">
        <v>25</v>
      </c>
      <c r="R104" s="97"/>
      <c r="S104" s="97"/>
      <c r="T104" s="97"/>
      <c r="U104" s="97"/>
      <c r="V104" s="97"/>
      <c r="W104" s="97"/>
      <c r="X104" s="97"/>
      <c r="Y104" s="97"/>
    </row>
    <row r="105" spans="1:27" ht="18.75">
      <c r="A105" s="289" t="s">
        <v>5462</v>
      </c>
      <c r="B105" s="289" t="s">
        <v>4221</v>
      </c>
      <c r="C105" s="291">
        <v>656.8</v>
      </c>
      <c r="D105" s="289">
        <v>72223</v>
      </c>
      <c r="E105" s="287" t="s">
        <v>4363</v>
      </c>
      <c r="F105" s="288">
        <v>8184</v>
      </c>
      <c r="G105" s="296">
        <f t="shared" si="10"/>
        <v>5713.1743300846874</v>
      </c>
      <c r="H105" s="295">
        <f>C105/F105</f>
        <v>8.0254154447702827E-2</v>
      </c>
      <c r="I105" s="306">
        <f>F105/C105</f>
        <v>12.460414129110841</v>
      </c>
      <c r="J105" s="97" t="s">
        <v>744</v>
      </c>
      <c r="K105" s="308">
        <f t="shared" si="34"/>
        <v>1.0002301784374457</v>
      </c>
      <c r="L105" s="97"/>
      <c r="M105" s="97" t="s">
        <v>25</v>
      </c>
      <c r="N105" s="97"/>
      <c r="R105" s="97"/>
      <c r="S105" s="97"/>
      <c r="T105" s="97"/>
      <c r="U105" s="97"/>
      <c r="V105" s="97"/>
      <c r="W105" s="97"/>
      <c r="X105" s="97"/>
      <c r="Y105" s="97"/>
    </row>
    <row r="106" spans="1:27" ht="18.75">
      <c r="A106" s="289" t="s">
        <v>5508</v>
      </c>
      <c r="B106" s="289" t="s">
        <v>4221</v>
      </c>
      <c r="C106" s="291">
        <v>864.7</v>
      </c>
      <c r="D106" s="289">
        <v>10000</v>
      </c>
      <c r="E106" s="287" t="s">
        <v>4363</v>
      </c>
      <c r="F106" s="288">
        <v>10794</v>
      </c>
      <c r="G106" s="296">
        <f t="shared" ref="G106" si="35">C106*D106*0.99025/(F106*1.0046399)</f>
        <v>789.6187890074915</v>
      </c>
      <c r="H106" s="297">
        <f t="shared" ref="H106" si="36">C106/F106</f>
        <v>8.0109319992588482E-2</v>
      </c>
      <c r="I106" s="306">
        <f t="shared" ref="I106" si="37">F106/C106</f>
        <v>12.482942060830345</v>
      </c>
      <c r="J106" s="97" t="s">
        <v>452</v>
      </c>
      <c r="K106" s="308">
        <f t="shared" si="34"/>
        <v>0.99819530270911117</v>
      </c>
      <c r="L106" s="97"/>
      <c r="M106" s="97"/>
      <c r="N106" s="97"/>
      <c r="P106" t="s">
        <v>25</v>
      </c>
    </row>
    <row r="107" spans="1:27" ht="18.75">
      <c r="A107" s="289" t="s">
        <v>5508</v>
      </c>
      <c r="B107" s="289" t="s">
        <v>4221</v>
      </c>
      <c r="C107" s="291">
        <v>872.5</v>
      </c>
      <c r="D107" s="289">
        <v>50000</v>
      </c>
      <c r="E107" s="287" t="s">
        <v>4363</v>
      </c>
      <c r="F107" s="288">
        <v>10839</v>
      </c>
      <c r="G107" s="296">
        <f>C107*D107*0.99025/(F107*1.0046399)</f>
        <v>3967.1685488397402</v>
      </c>
      <c r="H107" s="297">
        <f>C107/F107</f>
        <v>8.0496355752375681E-2</v>
      </c>
      <c r="I107" s="306">
        <f>F107/C107</f>
        <v>12.422922636103152</v>
      </c>
      <c r="J107" s="97" t="s">
        <v>452</v>
      </c>
      <c r="K107" s="308">
        <f t="shared" si="34"/>
        <v>1.0048313449648931</v>
      </c>
      <c r="L107" s="97"/>
      <c r="M107" s="97"/>
      <c r="N107" s="97"/>
    </row>
    <row r="108" spans="1:27" ht="18.75">
      <c r="A108" s="289" t="s">
        <v>5465</v>
      </c>
      <c r="B108" s="289" t="s">
        <v>4221</v>
      </c>
      <c r="C108" s="291">
        <v>689.6</v>
      </c>
      <c r="D108" s="289">
        <v>78468</v>
      </c>
      <c r="E108" s="287" t="s">
        <v>4363</v>
      </c>
      <c r="F108" s="288">
        <v>8462</v>
      </c>
      <c r="G108" s="296">
        <f t="shared" ref="G108" si="38">C108*D108*0.99025/(F108*1.0046399)</f>
        <v>6303.0571343067613</v>
      </c>
      <c r="H108" s="297">
        <f t="shared" ref="H108" si="39">C108/F108</f>
        <v>8.1493736705270631E-2</v>
      </c>
      <c r="I108" s="306">
        <f t="shared" ref="I108" si="40">F108/C108</f>
        <v>12.270881670533642</v>
      </c>
      <c r="J108" s="97" t="s">
        <v>452</v>
      </c>
      <c r="K108" s="308">
        <f t="shared" si="34"/>
        <v>1.0123903864165369</v>
      </c>
      <c r="L108" s="97"/>
      <c r="M108" s="97"/>
      <c r="N108" s="97" t="s">
        <v>25</v>
      </c>
      <c r="O108" t="s">
        <v>25</v>
      </c>
      <c r="R108" s="97" t="s">
        <v>744</v>
      </c>
      <c r="S108" s="97"/>
      <c r="T108" s="97"/>
      <c r="U108" s="97"/>
      <c r="V108" s="97"/>
      <c r="W108" s="97" t="s">
        <v>1220</v>
      </c>
      <c r="X108" s="97" t="s">
        <v>926</v>
      </c>
      <c r="Y108" s="67" t="s">
        <v>5459</v>
      </c>
      <c r="Z108" t="s">
        <v>25</v>
      </c>
    </row>
    <row r="109" spans="1:27" ht="18.75">
      <c r="A109" s="289" t="s">
        <v>5508</v>
      </c>
      <c r="B109" s="289" t="s">
        <v>4221</v>
      </c>
      <c r="C109" s="291">
        <v>887.6</v>
      </c>
      <c r="D109" s="289">
        <v>100000</v>
      </c>
      <c r="E109" s="287" t="s">
        <v>4363</v>
      </c>
      <c r="F109" s="288">
        <v>10887</v>
      </c>
      <c r="G109" s="296">
        <f>C109*D109*0.99025/(F109*1.0046399)</f>
        <v>8036.0660793919105</v>
      </c>
      <c r="H109" s="297">
        <f>C109/F109</f>
        <v>8.1528428400845052E-2</v>
      </c>
      <c r="I109" s="306">
        <f>F109/C109</f>
        <v>12.265660207300586</v>
      </c>
      <c r="J109" s="97" t="s">
        <v>452</v>
      </c>
      <c r="K109" s="308">
        <f t="shared" si="34"/>
        <v>1.0004256976913439</v>
      </c>
      <c r="L109" s="97"/>
      <c r="M109" s="97" t="s">
        <v>25</v>
      </c>
      <c r="N109" s="97"/>
      <c r="R109" s="97"/>
      <c r="S109" s="97" t="s">
        <v>4363</v>
      </c>
      <c r="T109" s="97">
        <v>4279</v>
      </c>
      <c r="U109" s="115">
        <v>32796123</v>
      </c>
      <c r="V109" s="115">
        <f>U109/T109</f>
        <v>7664.436316896471</v>
      </c>
      <c r="W109" s="115">
        <f>V109*1.01</f>
        <v>7741.0806800654354</v>
      </c>
      <c r="X109" s="97">
        <f>X95</f>
        <v>15700</v>
      </c>
      <c r="Y109" s="97">
        <f>T109*X109</f>
        <v>67180300</v>
      </c>
    </row>
    <row r="110" spans="1:27" ht="18.75">
      <c r="A110" s="289" t="s">
        <v>5508</v>
      </c>
      <c r="B110" s="289" t="s">
        <v>4221</v>
      </c>
      <c r="C110" s="291">
        <v>896.4</v>
      </c>
      <c r="D110" s="289">
        <v>70000</v>
      </c>
      <c r="E110" s="287" t="s">
        <v>4363</v>
      </c>
      <c r="F110" s="288">
        <v>10963</v>
      </c>
      <c r="G110" s="296">
        <f>C110*D110*0.99025/(F110*1.0046399)</f>
        <v>5641.6339272996938</v>
      </c>
      <c r="H110" s="297">
        <f>C110/F110</f>
        <v>8.1765939979932492E-2</v>
      </c>
      <c r="I110" s="306">
        <f>F110/C110</f>
        <v>12.230031236055332</v>
      </c>
      <c r="J110" s="97" t="s">
        <v>452</v>
      </c>
      <c r="K110" s="308">
        <f t="shared" si="34"/>
        <v>1.002913236324386</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5508</v>
      </c>
      <c r="B111" s="289" t="s">
        <v>4221</v>
      </c>
      <c r="C111" s="291">
        <v>899.9</v>
      </c>
      <c r="D111" s="289">
        <v>10000</v>
      </c>
      <c r="E111" s="287" t="s">
        <v>4363</v>
      </c>
      <c r="F111" s="288">
        <v>10975</v>
      </c>
      <c r="G111" s="296">
        <f>C111*D111*0.99025/(F111*1.0046399)</f>
        <v>808.20987311451961</v>
      </c>
      <c r="H111" s="297">
        <f>C111/F111</f>
        <v>8.1995444191343955E-2</v>
      </c>
      <c r="I111" s="306">
        <f>F111/C111</f>
        <v>12.195799533281477</v>
      </c>
      <c r="J111" s="97" t="s">
        <v>452</v>
      </c>
      <c r="K111" s="308">
        <f t="shared" si="34"/>
        <v>1.0028068436743685</v>
      </c>
      <c r="L111" s="320">
        <f>SUM(G100:G114)</f>
        <v>52706.191179942114</v>
      </c>
      <c r="M111" s="217" t="s">
        <v>5574</v>
      </c>
      <c r="N111" s="97"/>
      <c r="R111" s="97"/>
      <c r="S111" s="97" t="s">
        <v>4221</v>
      </c>
      <c r="T111" s="97">
        <v>12936</v>
      </c>
      <c r="U111" s="115">
        <v>6322162</v>
      </c>
      <c r="V111" s="115">
        <f>U111/T111</f>
        <v>488.72619047619048</v>
      </c>
      <c r="W111" s="115">
        <f>V111*1.01</f>
        <v>493.61345238095237</v>
      </c>
      <c r="X111" s="97">
        <f>X96</f>
        <v>1287</v>
      </c>
      <c r="Y111" s="97">
        <f>T111*X111</f>
        <v>16648632</v>
      </c>
    </row>
    <row r="112" spans="1:27" ht="18.75">
      <c r="A112" s="289" t="s">
        <v>5508</v>
      </c>
      <c r="B112" s="289" t="s">
        <v>4221</v>
      </c>
      <c r="C112" s="291">
        <v>903</v>
      </c>
      <c r="D112" s="289">
        <v>5000</v>
      </c>
      <c r="E112" s="287" t="s">
        <v>4363</v>
      </c>
      <c r="F112" s="288">
        <v>11012</v>
      </c>
      <c r="G112" s="296">
        <f>C112*D112*0.99025/(F112*1.0046399)</f>
        <v>404.13455007133837</v>
      </c>
      <c r="H112" s="297">
        <f>C112/F112</f>
        <v>8.2001452960406826E-2</v>
      </c>
      <c r="I112" s="306">
        <f>F112/C112</f>
        <v>12.194905869324474</v>
      </c>
      <c r="J112" s="97" t="s">
        <v>452</v>
      </c>
      <c r="K112" s="308">
        <f t="shared" si="34"/>
        <v>1.0000732817429325</v>
      </c>
      <c r="L112" s="60">
        <f>SUM(G92:G94)</f>
        <v>11304.395386018101</v>
      </c>
      <c r="M112" s="60" t="s">
        <v>5575</v>
      </c>
      <c r="N112" s="97"/>
      <c r="R112" s="97"/>
      <c r="S112" s="97" t="s">
        <v>5334</v>
      </c>
      <c r="T112" s="97">
        <v>4687</v>
      </c>
      <c r="U112" s="115">
        <v>1911597</v>
      </c>
      <c r="V112" s="115">
        <f>U112/T112</f>
        <v>407.85086409216984</v>
      </c>
      <c r="W112" s="115">
        <f>V112*1.01</f>
        <v>411.92937273309155</v>
      </c>
      <c r="X112" s="97" t="e">
        <f>X98</f>
        <v>#REF!</v>
      </c>
      <c r="Y112" s="97" t="e">
        <f>T112*X112</f>
        <v>#REF!</v>
      </c>
    </row>
    <row r="113" spans="1:25" ht="19.5">
      <c r="A113" s="289" t="s">
        <v>5508</v>
      </c>
      <c r="B113" s="289" t="s">
        <v>4221</v>
      </c>
      <c r="C113" s="291">
        <v>906.8</v>
      </c>
      <c r="D113" s="289">
        <v>3956</v>
      </c>
      <c r="E113" s="287" t="s">
        <v>4363</v>
      </c>
      <c r="F113" s="288">
        <v>10989</v>
      </c>
      <c r="G113" s="296">
        <f t="shared" ref="G113" si="41">C113*D113*0.99025/(F113*1.0046399)</f>
        <v>321.76888796380018</v>
      </c>
      <c r="H113" s="302">
        <f t="shared" ref="H113:H114" si="42">C113/F113</f>
        <v>8.2518882518882508E-2</v>
      </c>
      <c r="I113" s="306">
        <f t="shared" ref="I113:I114" si="43">F113/C113</f>
        <v>12.118438464931629</v>
      </c>
      <c r="J113" s="97" t="s">
        <v>452</v>
      </c>
      <c r="K113" s="308">
        <f>H113/H112</f>
        <v>1.006310004759617</v>
      </c>
      <c r="L113" s="23">
        <v>0</v>
      </c>
      <c r="M113" s="23" t="s">
        <v>5576</v>
      </c>
      <c r="N113" s="97"/>
      <c r="R113" s="97" t="s">
        <v>5433</v>
      </c>
      <c r="S113" s="97" t="s">
        <v>4521</v>
      </c>
      <c r="T113" s="97">
        <v>0</v>
      </c>
      <c r="U113" s="115">
        <v>180438</v>
      </c>
      <c r="V113" s="115"/>
      <c r="W113" s="115"/>
      <c r="X113" s="97">
        <f>X99</f>
        <v>1500</v>
      </c>
      <c r="Y113" s="93">
        <f>U113</f>
        <v>180438</v>
      </c>
    </row>
    <row r="114" spans="1:25" ht="19.5">
      <c r="A114" s="289" t="s">
        <v>5584</v>
      </c>
      <c r="B114" s="289" t="s">
        <v>4221</v>
      </c>
      <c r="C114" s="291">
        <v>1496</v>
      </c>
      <c r="D114" s="289">
        <v>6827</v>
      </c>
      <c r="E114" s="287" t="s">
        <v>4363</v>
      </c>
      <c r="F114" s="288">
        <v>17598.400000000001</v>
      </c>
      <c r="G114" s="296">
        <f>C114*D114*0.99025/(F114*1.0046399)</f>
        <v>572.03518219614966</v>
      </c>
      <c r="H114" s="302">
        <f t="shared" si="42"/>
        <v>8.5007727975270467E-2</v>
      </c>
      <c r="I114" s="306">
        <f t="shared" si="43"/>
        <v>11.763636363636365</v>
      </c>
      <c r="J114" s="97" t="s">
        <v>452</v>
      </c>
      <c r="K114" s="308">
        <f t="shared" ref="K114:K118" si="44">H114/H113</f>
        <v>1.0301609205119622</v>
      </c>
      <c r="L114" s="97"/>
      <c r="M114" s="97"/>
      <c r="N114" s="97"/>
      <c r="R114" s="97"/>
      <c r="S114" s="97"/>
      <c r="T114" s="97"/>
      <c r="U114" s="115"/>
      <c r="V114" s="115"/>
      <c r="W114" s="115"/>
      <c r="X114" s="97"/>
      <c r="Y114" s="97"/>
    </row>
    <row r="115" spans="1:25" ht="27" customHeight="1">
      <c r="A115" s="289"/>
      <c r="B115" s="289"/>
      <c r="C115" s="291"/>
      <c r="D115" s="289"/>
      <c r="E115" s="287"/>
      <c r="F115" s="288"/>
      <c r="G115" s="322" t="e">
        <f t="shared" ref="G115:G119" si="45">C115*D115*0.99114/(F115*1.0037158)</f>
        <v>#DIV/0!</v>
      </c>
      <c r="H115" s="302" t="e">
        <f t="shared" ref="H115:H119" si="46">C115/F115</f>
        <v>#DIV/0!</v>
      </c>
      <c r="I115" s="306" t="e">
        <f t="shared" ref="I115:I119" si="47">F115/C115</f>
        <v>#DIV/0!</v>
      </c>
      <c r="J115" s="97"/>
      <c r="K115" s="308" t="e">
        <f>H115/#REF!</f>
        <v>#DIV/0!</v>
      </c>
      <c r="L115" s="97" t="s">
        <v>25</v>
      </c>
      <c r="M115" s="97"/>
      <c r="N115" s="97"/>
      <c r="R115" s="97"/>
      <c r="S115" s="97"/>
      <c r="T115" s="97"/>
      <c r="U115" s="115">
        <v>141800000</v>
      </c>
      <c r="V115" s="115"/>
      <c r="W115" s="115"/>
      <c r="X115" s="97"/>
      <c r="Y115" s="93" t="e">
        <f>SUM(Y109:Y113)</f>
        <v>#REF!</v>
      </c>
    </row>
    <row r="116" spans="1:25" ht="19.5">
      <c r="A116" s="289"/>
      <c r="B116" s="289"/>
      <c r="C116" s="291"/>
      <c r="D116" s="289"/>
      <c r="E116" s="287"/>
      <c r="F116" s="288"/>
      <c r="G116" s="322" t="e">
        <f t="shared" si="45"/>
        <v>#DIV/0!</v>
      </c>
      <c r="H116" s="302" t="e">
        <f t="shared" si="46"/>
        <v>#DIV/0!</v>
      </c>
      <c r="I116" s="306" t="e">
        <f t="shared" si="47"/>
        <v>#DIV/0!</v>
      </c>
      <c r="J116" s="97" t="s">
        <v>25</v>
      </c>
      <c r="K116" s="308" t="e">
        <f t="shared" si="44"/>
        <v>#DIV/0!</v>
      </c>
      <c r="L116" s="97"/>
      <c r="M116" s="97"/>
      <c r="N116" s="97"/>
    </row>
    <row r="117" spans="1:25" ht="19.5">
      <c r="A117" s="289"/>
      <c r="B117" s="289"/>
      <c r="C117" s="291"/>
      <c r="D117" s="289"/>
      <c r="E117" s="287"/>
      <c r="F117" s="288"/>
      <c r="G117" s="322" t="e">
        <f t="shared" si="45"/>
        <v>#DIV/0!</v>
      </c>
      <c r="H117" s="302" t="e">
        <f t="shared" si="46"/>
        <v>#DIV/0!</v>
      </c>
      <c r="I117" s="306" t="e">
        <f t="shared" si="47"/>
        <v>#DIV/0!</v>
      </c>
      <c r="J117" s="97"/>
      <c r="K117" s="308" t="e">
        <f t="shared" si="44"/>
        <v>#DIV/0!</v>
      </c>
      <c r="L117" s="97"/>
      <c r="M117" s="97"/>
      <c r="N117" s="97"/>
    </row>
    <row r="118" spans="1:25" ht="19.5">
      <c r="A118" s="289"/>
      <c r="B118" s="289"/>
      <c r="C118" s="291"/>
      <c r="D118" s="289"/>
      <c r="E118" s="287"/>
      <c r="F118" s="288"/>
      <c r="G118" s="322" t="e">
        <f t="shared" si="45"/>
        <v>#DIV/0!</v>
      </c>
      <c r="H118" s="302" t="e">
        <f t="shared" si="46"/>
        <v>#DIV/0!</v>
      </c>
      <c r="I118" s="306" t="e">
        <f t="shared" si="47"/>
        <v>#DIV/0!</v>
      </c>
      <c r="J118" s="97"/>
      <c r="K118" s="308" t="e">
        <f t="shared" si="44"/>
        <v>#DIV/0!</v>
      </c>
      <c r="L118" s="97"/>
      <c r="M118" s="97"/>
      <c r="N118" s="97"/>
      <c r="Q118" t="s">
        <v>25</v>
      </c>
      <c r="R118" t="s">
        <v>25</v>
      </c>
      <c r="W118" t="s">
        <v>5460</v>
      </c>
      <c r="X118" s="112" t="e">
        <f>Y102+Y115-U102-U115</f>
        <v>#REF!</v>
      </c>
    </row>
    <row r="119" spans="1:25" ht="19.5">
      <c r="A119" s="289"/>
      <c r="B119" s="289"/>
      <c r="C119" s="291"/>
      <c r="D119" s="289"/>
      <c r="E119" s="287"/>
      <c r="F119" s="288"/>
      <c r="G119" s="322" t="e">
        <f t="shared" si="45"/>
        <v>#DIV/0!</v>
      </c>
      <c r="H119" s="302" t="e">
        <f t="shared" si="46"/>
        <v>#DIV/0!</v>
      </c>
      <c r="I119" s="306" t="e">
        <f t="shared" si="47"/>
        <v>#DIV/0!</v>
      </c>
      <c r="J119" s="97"/>
      <c r="K119" s="308" t="e">
        <f t="shared" ref="K119" si="48">H119/H118</f>
        <v>#DIV/0!</v>
      </c>
      <c r="L119" s="97" t="s">
        <v>25</v>
      </c>
      <c r="M119" s="97"/>
      <c r="N119" s="97"/>
      <c r="R119" t="s">
        <v>25</v>
      </c>
    </row>
    <row r="120" spans="1:25">
      <c r="A120" s="301"/>
      <c r="B120" s="301"/>
      <c r="C120" s="301"/>
      <c r="D120" s="301"/>
      <c r="E120" s="301"/>
      <c r="F120" s="301"/>
      <c r="G120" s="301"/>
      <c r="H120" s="301"/>
      <c r="I120" s="301"/>
      <c r="J120" s="313"/>
      <c r="K120" s="313"/>
      <c r="L120" s="314" t="s">
        <v>5500</v>
      </c>
      <c r="M120" s="298"/>
      <c r="N120" s="97">
        <f>1/M121</f>
        <v>11.99845392567488</v>
      </c>
      <c r="Q120" t="s">
        <v>25</v>
      </c>
      <c r="R120" t="s">
        <v>25</v>
      </c>
    </row>
    <row r="121" spans="1:25" ht="18.75">
      <c r="A121" s="289" t="s">
        <v>5506</v>
      </c>
      <c r="B121" s="289" t="s">
        <v>4221</v>
      </c>
      <c r="C121" s="316">
        <f>C124</f>
        <v>1300</v>
      </c>
      <c r="D121" s="289">
        <v>1</v>
      </c>
      <c r="E121" s="287" t="s">
        <v>4363</v>
      </c>
      <c r="F121" s="315">
        <f>C125</f>
        <v>15800</v>
      </c>
      <c r="G121" s="289">
        <f t="shared" ref="G121" si="49">C121*D121*0.99114/(F121*1.0037158)</f>
        <v>8.1247593861615092E-2</v>
      </c>
      <c r="H121" s="290">
        <f>C121/F121</f>
        <v>8.2278481012658222E-2</v>
      </c>
      <c r="I121" s="290">
        <f>F121/C121</f>
        <v>12.153846153846153</v>
      </c>
      <c r="J121" s="97"/>
      <c r="K121" s="309">
        <f>H121/H114</f>
        <v>0.96789413118527046</v>
      </c>
      <c r="L121" s="310">
        <f>(1/K121-1.0256)*100</f>
        <v>0.75708476994411633</v>
      </c>
      <c r="M121" s="97">
        <f>H113*1.01</f>
        <v>8.3344071344071333E-2</v>
      </c>
      <c r="N121" s="97">
        <f t="shared" ref="L121:N135" si="50">1/M122</f>
        <v>11.879657352153346</v>
      </c>
      <c r="R121" t="s">
        <v>25</v>
      </c>
    </row>
    <row r="122" spans="1:25">
      <c r="A122" s="289"/>
      <c r="B122" s="94"/>
      <c r="C122" s="94"/>
      <c r="D122" s="94"/>
      <c r="E122" s="94"/>
      <c r="F122" s="94"/>
      <c r="G122" s="94"/>
      <c r="H122" s="94"/>
      <c r="I122" s="94"/>
      <c r="J122" s="94"/>
      <c r="K122" s="94"/>
      <c r="L122" s="94"/>
      <c r="M122" s="97">
        <f>M121*1.01</f>
        <v>8.4177512057512047E-2</v>
      </c>
      <c r="N122" s="97">
        <f t="shared" si="50"/>
        <v>11.762036982330047</v>
      </c>
      <c r="R122" t="s">
        <v>25</v>
      </c>
      <c r="S122" t="s">
        <v>25</v>
      </c>
    </row>
    <row r="123" spans="1:25">
      <c r="A123" s="85"/>
      <c r="B123" s="94"/>
      <c r="C123" s="94"/>
      <c r="D123" s="94" t="s">
        <v>25</v>
      </c>
      <c r="E123" s="94"/>
      <c r="F123" s="94"/>
      <c r="G123" s="94"/>
      <c r="H123" s="94"/>
      <c r="I123" s="94"/>
      <c r="J123" s="94"/>
      <c r="K123" s="94"/>
      <c r="L123" s="94"/>
      <c r="M123" s="97">
        <f t="shared" ref="K123:M136" si="51">M122*1.01</f>
        <v>8.5019287178087169E-2</v>
      </c>
      <c r="N123" s="97">
        <f t="shared" si="50"/>
        <v>11.645581170623808</v>
      </c>
      <c r="R123" t="s">
        <v>25</v>
      </c>
      <c r="S123" t="s">
        <v>25</v>
      </c>
    </row>
    <row r="124" spans="1:25" ht="21">
      <c r="B124" t="s">
        <v>4221</v>
      </c>
      <c r="C124" s="312">
        <v>1300</v>
      </c>
      <c r="D124" t="s">
        <v>25</v>
      </c>
      <c r="F124">
        <v>158882</v>
      </c>
      <c r="G124">
        <f>F124/0.99114</f>
        <v>160302.27818471659</v>
      </c>
      <c r="I124">
        <v>376112</v>
      </c>
      <c r="J124">
        <v>37406</v>
      </c>
      <c r="M124" s="97">
        <f t="shared" si="51"/>
        <v>8.5869480049868038E-2</v>
      </c>
      <c r="N124" s="97">
        <f t="shared" si="50"/>
        <v>11.530278386756247</v>
      </c>
      <c r="S124" t="s">
        <v>25</v>
      </c>
    </row>
    <row r="125" spans="1:25" ht="21">
      <c r="B125" t="s">
        <v>4363</v>
      </c>
      <c r="C125" s="311">
        <v>15800</v>
      </c>
      <c r="F125">
        <v>17181</v>
      </c>
      <c r="G125" s="94">
        <f t="shared" ref="G125" si="52">F125/1.0037158</f>
        <v>17117.395182979086</v>
      </c>
      <c r="I125" s="94">
        <f>I124*J125/J124</f>
        <v>176854.88873442763</v>
      </c>
      <c r="J125">
        <v>17589</v>
      </c>
      <c r="M125" s="97">
        <f t="shared" si="51"/>
        <v>8.6728174850366713E-2</v>
      </c>
      <c r="N125" s="97">
        <f t="shared" si="50"/>
        <v>11.416117214610145</v>
      </c>
      <c r="S125" t="s">
        <v>25</v>
      </c>
    </row>
    <row r="126" spans="1:25">
      <c r="A126" s="94"/>
      <c r="B126" t="s">
        <v>4359</v>
      </c>
      <c r="C126" s="319">
        <v>14800</v>
      </c>
      <c r="F126">
        <v>17630.7</v>
      </c>
      <c r="G126" s="94">
        <f>F126*0.99114/1.0037158</f>
        <v>17409.800660704954</v>
      </c>
      <c r="H126" s="94"/>
      <c r="I126">
        <f>I124-I125</f>
        <v>199257.11126557237</v>
      </c>
      <c r="J126">
        <f>J124-J125</f>
        <v>19817</v>
      </c>
      <c r="K126" t="s">
        <v>25</v>
      </c>
      <c r="L126" t="s">
        <v>25</v>
      </c>
      <c r="M126" s="97">
        <f t="shared" si="51"/>
        <v>8.7595456598870386E-2</v>
      </c>
      <c r="N126" s="97">
        <f t="shared" si="50"/>
        <v>11.303086351099154</v>
      </c>
      <c r="R126" t="s">
        <v>25</v>
      </c>
      <c r="S126" t="s">
        <v>25</v>
      </c>
    </row>
    <row r="127" spans="1:25">
      <c r="A127" s="94"/>
      <c r="G127" s="94"/>
      <c r="H127" s="94"/>
      <c r="J127" t="s">
        <v>25</v>
      </c>
      <c r="L127" t="s">
        <v>25</v>
      </c>
      <c r="M127" s="97">
        <f t="shared" si="51"/>
        <v>8.8471411164859085E-2</v>
      </c>
      <c r="N127" s="97">
        <f t="shared" si="50"/>
        <v>11.191174605048667</v>
      </c>
      <c r="R127" t="s">
        <v>25</v>
      </c>
    </row>
    <row r="128" spans="1:25">
      <c r="B128" s="94"/>
      <c r="C128" s="94"/>
      <c r="D128" s="94"/>
      <c r="E128" s="94"/>
      <c r="F128" s="94"/>
      <c r="G128" s="94"/>
      <c r="H128" s="94"/>
      <c r="M128" s="97">
        <f t="shared" si="51"/>
        <v>8.9356125276507672E-2</v>
      </c>
      <c r="N128" s="97">
        <f>1/K129</f>
        <v>11.080370896087789</v>
      </c>
    </row>
    <row r="129" spans="1:20">
      <c r="A129" s="97" t="s">
        <v>5789</v>
      </c>
      <c r="B129" s="97"/>
      <c r="C129" s="97" t="s">
        <v>5788</v>
      </c>
      <c r="D129" s="97"/>
      <c r="E129" s="97" t="s">
        <v>5790</v>
      </c>
      <c r="F129" s="97" t="s">
        <v>5791</v>
      </c>
      <c r="G129" s="329" t="s">
        <v>5793</v>
      </c>
      <c r="K129" s="97">
        <f>M128*1.01</f>
        <v>9.0249686529272746E-2</v>
      </c>
      <c r="L129" s="97">
        <f t="shared" si="50"/>
        <v>10.970664253552266</v>
      </c>
      <c r="S129" t="s">
        <v>25</v>
      </c>
      <c r="T129" t="s">
        <v>25</v>
      </c>
    </row>
    <row r="130" spans="1:20">
      <c r="A130" s="97">
        <f>C126/C124</f>
        <v>11.384615384615385</v>
      </c>
      <c r="B130" s="97"/>
      <c r="C130" s="97">
        <v>10.73</v>
      </c>
      <c r="D130" s="97"/>
      <c r="E130" s="97">
        <v>10</v>
      </c>
      <c r="F130" s="97">
        <v>10.35</v>
      </c>
      <c r="G130" s="94"/>
      <c r="H130" s="94"/>
      <c r="K130" s="97">
        <f t="shared" si="51"/>
        <v>9.1152183394565475E-2</v>
      </c>
      <c r="L130" s="97">
        <f t="shared" si="50"/>
        <v>10.862043815398284</v>
      </c>
      <c r="R130" t="s">
        <v>25</v>
      </c>
      <c r="S130" t="s">
        <v>25</v>
      </c>
    </row>
    <row r="131" spans="1:20">
      <c r="A131" s="97"/>
      <c r="B131" s="97"/>
      <c r="C131" s="97">
        <f>C130/1.001</f>
        <v>10.719280719280722</v>
      </c>
      <c r="D131" s="97"/>
      <c r="E131" s="97">
        <f>E130/1.001</f>
        <v>9.990009990009991</v>
      </c>
      <c r="F131" s="97">
        <f>F130*1.002</f>
        <v>10.370699999999999</v>
      </c>
      <c r="G131" s="94"/>
      <c r="H131" s="94"/>
      <c r="I131" t="s">
        <v>25</v>
      </c>
      <c r="K131" s="97">
        <f t="shared" si="51"/>
        <v>9.2063705228511136E-2</v>
      </c>
      <c r="L131" s="97">
        <f t="shared" si="50"/>
        <v>10.754498827127014</v>
      </c>
      <c r="P131" t="s">
        <v>25</v>
      </c>
      <c r="Q131" t="s">
        <v>25</v>
      </c>
    </row>
    <row r="132" spans="1:20">
      <c r="A132" s="97"/>
      <c r="B132" s="97"/>
      <c r="C132" s="97">
        <f t="shared" ref="C132:C195" si="53">C131/1.001</f>
        <v>10.708572147133589</v>
      </c>
      <c r="D132" s="97"/>
      <c r="E132" s="97">
        <f t="shared" ref="E132:E195" si="54">E131/1.001</f>
        <v>9.9800299600499418</v>
      </c>
      <c r="F132" s="97">
        <f t="shared" ref="F132:F195" si="55">F131*1.002</f>
        <v>10.3914414</v>
      </c>
      <c r="G132" s="94"/>
      <c r="H132" s="94"/>
      <c r="K132" s="97">
        <f t="shared" si="51"/>
        <v>9.2984342280796245E-2</v>
      </c>
      <c r="L132" s="97">
        <f t="shared" si="50"/>
        <v>10.648018640719815</v>
      </c>
      <c r="Q132" t="s">
        <v>25</v>
      </c>
      <c r="R132" t="s">
        <v>25</v>
      </c>
    </row>
    <row r="133" spans="1:20">
      <c r="A133" s="97" t="s">
        <v>5792</v>
      </c>
      <c r="B133" s="97"/>
      <c r="C133" s="97">
        <f t="shared" si="53"/>
        <v>10.69787427286073</v>
      </c>
      <c r="D133" s="97"/>
      <c r="E133" s="97">
        <f t="shared" si="54"/>
        <v>9.9700599001497938</v>
      </c>
      <c r="F133" s="97">
        <f t="shared" si="55"/>
        <v>10.4122242828</v>
      </c>
      <c r="G133" s="94"/>
      <c r="H133" s="94"/>
      <c r="K133" s="97">
        <f t="shared" si="51"/>
        <v>9.3914185703604214E-2</v>
      </c>
      <c r="L133" s="97">
        <f t="shared" si="50"/>
        <v>10.542592713583975</v>
      </c>
    </row>
    <row r="134" spans="1:20">
      <c r="A134" s="97">
        <f>C125/C124</f>
        <v>12.153846153846153</v>
      </c>
      <c r="B134" s="97"/>
      <c r="C134" s="97">
        <f t="shared" si="53"/>
        <v>10.687187085774957</v>
      </c>
      <c r="D134" s="97"/>
      <c r="E134" s="97">
        <f t="shared" si="54"/>
        <v>9.960099800349445</v>
      </c>
      <c r="F134" s="97">
        <f t="shared" si="55"/>
        <v>10.4330487313656</v>
      </c>
      <c r="G134" s="94"/>
      <c r="H134" s="94"/>
      <c r="K134" s="97">
        <f t="shared" si="51"/>
        <v>9.4853327560640258E-2</v>
      </c>
      <c r="L134" s="97">
        <f t="shared" si="50"/>
        <v>10.438210607508886</v>
      </c>
      <c r="P134" t="s">
        <v>25</v>
      </c>
    </row>
    <row r="135" spans="1:20">
      <c r="A135" s="97"/>
      <c r="B135" s="97"/>
      <c r="C135" s="97">
        <f t="shared" si="53"/>
        <v>10.676510575199758</v>
      </c>
      <c r="D135" s="97"/>
      <c r="E135" s="97">
        <f t="shared" si="54"/>
        <v>9.9501496506987479</v>
      </c>
      <c r="F135" s="97">
        <f t="shared" si="55"/>
        <v>10.453914828828331</v>
      </c>
      <c r="G135" s="94"/>
      <c r="H135" s="94"/>
      <c r="K135" s="97">
        <f t="shared" si="51"/>
        <v>9.5801860836246658E-2</v>
      </c>
      <c r="L135" s="97">
        <f t="shared" si="50"/>
        <v>10.334861987632561</v>
      </c>
    </row>
    <row r="136" spans="1:20">
      <c r="A136" s="97"/>
      <c r="B136" s="97"/>
      <c r="C136" s="97">
        <f t="shared" si="53"/>
        <v>10.66584473046929</v>
      </c>
      <c r="D136" s="97"/>
      <c r="E136" s="97">
        <f t="shared" si="54"/>
        <v>9.9402094412574922</v>
      </c>
      <c r="F136" s="97">
        <f t="shared" si="55"/>
        <v>10.474822658485989</v>
      </c>
      <c r="G136" s="94"/>
      <c r="H136" s="94"/>
      <c r="K136" s="97">
        <f t="shared" si="51"/>
        <v>9.675987944460912E-2</v>
      </c>
      <c r="P136" t="s">
        <v>25</v>
      </c>
      <c r="Q136" t="s">
        <v>25</v>
      </c>
      <c r="R136" t="s">
        <v>25</v>
      </c>
    </row>
    <row r="137" spans="1:20">
      <c r="A137" s="97"/>
      <c r="B137" s="97"/>
      <c r="C137" s="97">
        <f t="shared" si="53"/>
        <v>10.655189540928363</v>
      </c>
      <c r="D137" s="97"/>
      <c r="E137" s="97">
        <f t="shared" si="54"/>
        <v>9.9302791620953972</v>
      </c>
      <c r="F137" s="97">
        <f t="shared" si="55"/>
        <v>10.49577230380296</v>
      </c>
      <c r="G137" s="94"/>
      <c r="H137" s="94" t="s">
        <v>5605</v>
      </c>
    </row>
    <row r="138" spans="1:20">
      <c r="A138" s="97"/>
      <c r="B138" s="97"/>
      <c r="C138" s="97">
        <f t="shared" si="53"/>
        <v>10.644544995932431</v>
      </c>
      <c r="D138" s="97"/>
      <c r="E138" s="97">
        <f t="shared" si="54"/>
        <v>9.9203588032921068</v>
      </c>
      <c r="F138" s="97">
        <f t="shared" si="55"/>
        <v>10.516763848410566</v>
      </c>
      <c r="G138" s="94"/>
      <c r="H138" s="94" t="s">
        <v>5606</v>
      </c>
      <c r="P138" t="s">
        <v>25</v>
      </c>
      <c r="Q138" t="s">
        <v>25</v>
      </c>
    </row>
    <row r="139" spans="1:20">
      <c r="A139" s="97"/>
      <c r="B139" s="97"/>
      <c r="C139" s="97">
        <f t="shared" si="53"/>
        <v>10.633911084847584</v>
      </c>
      <c r="D139" s="97"/>
      <c r="E139" s="97">
        <f t="shared" si="54"/>
        <v>9.91044835493717</v>
      </c>
      <c r="F139" s="97">
        <f t="shared" si="55"/>
        <v>10.537797376107386</v>
      </c>
      <c r="G139" s="94"/>
      <c r="H139" s="94" t="s">
        <v>5607</v>
      </c>
      <c r="K139" t="s">
        <v>25</v>
      </c>
    </row>
    <row r="140" spans="1:20">
      <c r="A140" s="97"/>
      <c r="B140" s="97"/>
      <c r="C140" s="97">
        <f t="shared" si="53"/>
        <v>10.623287797050535</v>
      </c>
      <c r="D140" s="97"/>
      <c r="E140" s="97">
        <f t="shared" si="54"/>
        <v>9.9005478071300406</v>
      </c>
      <c r="F140" s="97">
        <f t="shared" si="55"/>
        <v>10.558872970859602</v>
      </c>
      <c r="G140" s="94"/>
      <c r="H140" s="94" t="s">
        <v>5608</v>
      </c>
    </row>
    <row r="141" spans="1:20">
      <c r="A141" s="97"/>
      <c r="B141" s="97"/>
      <c r="C141" s="97">
        <f t="shared" si="53"/>
        <v>10.612675121928607</v>
      </c>
      <c r="D141" s="97"/>
      <c r="E141" s="97">
        <f t="shared" si="54"/>
        <v>9.8906571499800613</v>
      </c>
      <c r="F141" s="97">
        <f t="shared" si="55"/>
        <v>10.579990716801321</v>
      </c>
      <c r="G141" s="94"/>
      <c r="H141" s="94" t="s">
        <v>5609</v>
      </c>
    </row>
    <row r="142" spans="1:20">
      <c r="A142" s="97"/>
      <c r="B142" s="97"/>
      <c r="C142" s="97">
        <f t="shared" si="53"/>
        <v>10.602073048879728</v>
      </c>
      <c r="D142" s="97"/>
      <c r="E142" s="97">
        <f t="shared" si="54"/>
        <v>9.8807763736064551</v>
      </c>
      <c r="F142" s="97">
        <f t="shared" si="55"/>
        <v>10.601150698234923</v>
      </c>
      <c r="G142" s="94"/>
      <c r="H142" s="94" t="s">
        <v>5610</v>
      </c>
    </row>
    <row r="143" spans="1:20">
      <c r="A143" s="97"/>
      <c r="B143" s="97"/>
      <c r="C143" s="97">
        <f t="shared" si="53"/>
        <v>10.591481567312416</v>
      </c>
      <c r="D143" s="97"/>
      <c r="E143" s="97">
        <f t="shared" si="54"/>
        <v>9.8709054681383179</v>
      </c>
      <c r="F143" s="97">
        <f t="shared" si="55"/>
        <v>10.622352999631392</v>
      </c>
      <c r="G143" s="94"/>
      <c r="H143" s="94"/>
      <c r="K143" t="s">
        <v>25</v>
      </c>
    </row>
    <row r="144" spans="1:20">
      <c r="A144" s="97"/>
      <c r="B144" s="97"/>
      <c r="C144" s="97">
        <f t="shared" si="53"/>
        <v>10.580900666645771</v>
      </c>
      <c r="D144" s="97"/>
      <c r="E144" s="97">
        <f t="shared" si="54"/>
        <v>9.8610444237146044</v>
      </c>
      <c r="F144" s="97">
        <f t="shared" si="55"/>
        <v>10.643597705630654</v>
      </c>
      <c r="G144" s="94"/>
      <c r="H144" s="94" t="s">
        <v>25</v>
      </c>
    </row>
    <row r="145" spans="1:17">
      <c r="A145" s="97"/>
      <c r="B145" s="97"/>
      <c r="C145" s="97">
        <f t="shared" si="53"/>
        <v>10.570330336309462</v>
      </c>
      <c r="D145" s="97"/>
      <c r="E145" s="97">
        <f t="shared" si="54"/>
        <v>9.851193230484121</v>
      </c>
      <c r="F145" s="97">
        <f t="shared" si="55"/>
        <v>10.664884901041916</v>
      </c>
      <c r="G145" s="94"/>
      <c r="H145" s="94"/>
    </row>
    <row r="146" spans="1:17">
      <c r="A146" s="97"/>
      <c r="B146" s="97"/>
      <c r="C146" s="97">
        <f t="shared" si="53"/>
        <v>10.559770565743719</v>
      </c>
      <c r="D146" s="97"/>
      <c r="E146" s="97">
        <f t="shared" si="54"/>
        <v>9.8413518786055167</v>
      </c>
      <c r="F146" s="97">
        <f t="shared" si="55"/>
        <v>10.686214670843999</v>
      </c>
      <c r="G146" s="94"/>
      <c r="H146" s="94"/>
    </row>
    <row r="147" spans="1:17">
      <c r="A147" s="97"/>
      <c r="B147" s="97"/>
      <c r="C147" s="97">
        <f t="shared" si="53"/>
        <v>10.549221344399321</v>
      </c>
      <c r="D147" s="97"/>
      <c r="E147" s="97">
        <f t="shared" si="54"/>
        <v>9.8315203582472712</v>
      </c>
      <c r="F147" s="97">
        <f t="shared" si="55"/>
        <v>10.707587100185687</v>
      </c>
    </row>
    <row r="148" spans="1:17">
      <c r="A148" s="97"/>
      <c r="B148" s="97"/>
      <c r="C148" s="97">
        <f t="shared" si="53"/>
        <v>10.538682661737584</v>
      </c>
      <c r="D148" s="97"/>
      <c r="E148" s="97">
        <f t="shared" si="54"/>
        <v>9.8216986595876854</v>
      </c>
      <c r="F148" s="97">
        <f t="shared" si="55"/>
        <v>10.729002274386058</v>
      </c>
    </row>
    <row r="149" spans="1:17">
      <c r="A149" s="97"/>
      <c r="B149" s="97"/>
      <c r="C149" s="97">
        <f t="shared" si="53"/>
        <v>10.528154507230354</v>
      </c>
      <c r="D149" s="97"/>
      <c r="E149" s="97">
        <f t="shared" si="54"/>
        <v>9.8118867728148711</v>
      </c>
      <c r="F149" s="97">
        <f t="shared" si="55"/>
        <v>10.750460278934831</v>
      </c>
    </row>
    <row r="150" spans="1:17">
      <c r="A150" s="97"/>
      <c r="B150" s="97"/>
      <c r="C150" s="97">
        <f t="shared" si="53"/>
        <v>10.517636870359995</v>
      </c>
      <c r="D150" s="97"/>
      <c r="E150" s="97">
        <f t="shared" si="54"/>
        <v>9.8020846881267456</v>
      </c>
      <c r="F150" s="97">
        <f t="shared" si="55"/>
        <v>10.771961199492701</v>
      </c>
      <c r="P150" t="s">
        <v>25</v>
      </c>
    </row>
    <row r="151" spans="1:17">
      <c r="A151" s="97"/>
      <c r="B151" s="97"/>
      <c r="C151" s="97">
        <f t="shared" si="53"/>
        <v>10.507129740619376</v>
      </c>
      <c r="D151" s="97"/>
      <c r="E151" s="97">
        <f t="shared" si="54"/>
        <v>9.7922923957310157</v>
      </c>
      <c r="F151" s="97">
        <f t="shared" si="55"/>
        <v>10.793505121891686</v>
      </c>
      <c r="G151" t="s">
        <v>25</v>
      </c>
    </row>
    <row r="152" spans="1:17">
      <c r="A152" s="97"/>
      <c r="B152" s="97"/>
      <c r="C152" s="97">
        <f t="shared" si="53"/>
        <v>10.496633107511865</v>
      </c>
      <c r="D152" s="97"/>
      <c r="E152" s="97">
        <f t="shared" si="54"/>
        <v>9.7825098858451724</v>
      </c>
      <c r="F152" s="97">
        <f t="shared" si="55"/>
        <v>10.815092132135469</v>
      </c>
      <c r="O152" t="s">
        <v>25</v>
      </c>
    </row>
    <row r="153" spans="1:17">
      <c r="A153" s="97"/>
      <c r="B153" s="97"/>
      <c r="C153" s="97">
        <f t="shared" si="53"/>
        <v>10.486146960551315</v>
      </c>
      <c r="D153" s="97"/>
      <c r="E153" s="97">
        <f t="shared" si="54"/>
        <v>9.7727371486964767</v>
      </c>
      <c r="F153" s="97">
        <f t="shared" si="55"/>
        <v>10.83672231639974</v>
      </c>
      <c r="N153" t="s">
        <v>25</v>
      </c>
    </row>
    <row r="154" spans="1:17">
      <c r="A154" s="97"/>
      <c r="B154" s="97"/>
      <c r="C154" s="97">
        <f t="shared" si="53"/>
        <v>10.475671289262054</v>
      </c>
      <c r="D154" s="97"/>
      <c r="E154" s="97">
        <f t="shared" si="54"/>
        <v>9.7629741745219558</v>
      </c>
      <c r="F154" s="97">
        <f t="shared" si="55"/>
        <v>10.85839576103254</v>
      </c>
    </row>
    <row r="155" spans="1:17">
      <c r="A155" s="97"/>
      <c r="B155" s="97"/>
      <c r="C155" s="97">
        <f t="shared" si="53"/>
        <v>10.465206083178877</v>
      </c>
      <c r="D155" s="97"/>
      <c r="E155" s="97">
        <f t="shared" si="54"/>
        <v>9.7532209535683894</v>
      </c>
      <c r="F155" s="97">
        <f t="shared" si="55"/>
        <v>10.880112552554605</v>
      </c>
      <c r="Q155" t="s">
        <v>25</v>
      </c>
    </row>
    <row r="156" spans="1:17">
      <c r="A156" s="97"/>
      <c r="B156" s="97"/>
      <c r="C156" s="97">
        <f t="shared" si="53"/>
        <v>10.454751331847032</v>
      </c>
      <c r="D156" s="97"/>
      <c r="E156" s="97">
        <f t="shared" si="54"/>
        <v>9.7434774760922984</v>
      </c>
      <c r="F156" s="97">
        <f t="shared" si="55"/>
        <v>10.901872777659715</v>
      </c>
      <c r="N156" t="s">
        <v>25</v>
      </c>
      <c r="Q156" t="s">
        <v>25</v>
      </c>
    </row>
    <row r="157" spans="1:17">
      <c r="A157" s="97"/>
      <c r="C157" s="97">
        <f t="shared" si="53"/>
        <v>10.44430702482221</v>
      </c>
      <c r="E157" s="97">
        <f t="shared" si="54"/>
        <v>9.7337437323599403</v>
      </c>
      <c r="F157" s="97">
        <f t="shared" si="55"/>
        <v>10.923676523215034</v>
      </c>
      <c r="M157" t="s">
        <v>25</v>
      </c>
      <c r="O157" t="s">
        <v>25</v>
      </c>
    </row>
    <row r="158" spans="1:17">
      <c r="A158" s="97"/>
      <c r="C158" s="97">
        <f t="shared" si="53"/>
        <v>10.433873151670541</v>
      </c>
      <c r="E158" s="97">
        <f t="shared" si="54"/>
        <v>9.7240197126472943</v>
      </c>
      <c r="F158" s="97">
        <f t="shared" si="55"/>
        <v>10.945523876261465</v>
      </c>
      <c r="P158" t="s">
        <v>25</v>
      </c>
    </row>
    <row r="159" spans="1:17">
      <c r="A159" s="97"/>
      <c r="C159" s="97">
        <f t="shared" si="53"/>
        <v>10.423449701968574</v>
      </c>
      <c r="E159" s="97">
        <f t="shared" si="54"/>
        <v>9.7143054072400545</v>
      </c>
      <c r="F159" s="97">
        <f t="shared" si="55"/>
        <v>10.967414924013989</v>
      </c>
      <c r="M159" t="s">
        <v>25</v>
      </c>
      <c r="P159" t="s">
        <v>25</v>
      </c>
    </row>
    <row r="160" spans="1:17">
      <c r="A160" s="97"/>
      <c r="C160" s="97">
        <f t="shared" si="53"/>
        <v>10.413036665303272</v>
      </c>
      <c r="E160" s="97">
        <f t="shared" si="54"/>
        <v>9.7046008064336213</v>
      </c>
      <c r="F160" s="97">
        <f t="shared" si="55"/>
        <v>10.989349753862017</v>
      </c>
    </row>
    <row r="161" spans="1:6">
      <c r="A161" s="97"/>
      <c r="C161" s="97">
        <f t="shared" si="53"/>
        <v>10.402634031272001</v>
      </c>
      <c r="E161" s="97">
        <f t="shared" si="54"/>
        <v>9.6949059005330884</v>
      </c>
      <c r="F161" s="97">
        <f t="shared" si="55"/>
        <v>11.011328453369741</v>
      </c>
    </row>
    <row r="162" spans="1:6">
      <c r="A162" s="97"/>
      <c r="C162" s="97">
        <f t="shared" si="53"/>
        <v>10.392241789482519</v>
      </c>
      <c r="E162" s="97">
        <f t="shared" si="54"/>
        <v>9.6852206798532361</v>
      </c>
      <c r="F162" s="97">
        <f t="shared" si="55"/>
        <v>11.033351110276481</v>
      </c>
    </row>
    <row r="163" spans="1:6">
      <c r="A163" s="97"/>
      <c r="C163" s="97">
        <f t="shared" si="53"/>
        <v>10.381859929552967</v>
      </c>
      <c r="E163" s="97">
        <f t="shared" si="54"/>
        <v>9.6755451347185186</v>
      </c>
      <c r="F163" s="97">
        <f t="shared" si="55"/>
        <v>11.055417812497033</v>
      </c>
    </row>
    <row r="164" spans="1:6">
      <c r="A164" s="97"/>
      <c r="C164" s="97">
        <f t="shared" si="53"/>
        <v>10.371488441111856</v>
      </c>
      <c r="E164" s="97">
        <f t="shared" si="54"/>
        <v>9.6658792554630573</v>
      </c>
      <c r="F164" s="97">
        <f t="shared" si="55"/>
        <v>11.077528648122028</v>
      </c>
    </row>
    <row r="165" spans="1:6">
      <c r="A165" s="97"/>
      <c r="C165" s="97">
        <f t="shared" si="53"/>
        <v>10.361127313798059</v>
      </c>
      <c r="E165" s="97">
        <f t="shared" si="54"/>
        <v>9.6562230324306277</v>
      </c>
      <c r="F165" s="97">
        <f t="shared" si="55"/>
        <v>11.099683705418272</v>
      </c>
    </row>
    <row r="166" spans="1:6">
      <c r="A166" s="97"/>
      <c r="C166" s="97">
        <f t="shared" si="53"/>
        <v>10.350776537260799</v>
      </c>
      <c r="E166" s="97">
        <f t="shared" si="54"/>
        <v>9.646576455974655</v>
      </c>
      <c r="F166" s="97">
        <f t="shared" si="55"/>
        <v>11.121883072829108</v>
      </c>
    </row>
    <row r="167" spans="1:6">
      <c r="A167" s="97"/>
      <c r="C167" s="97">
        <f t="shared" si="53"/>
        <v>10.340436101159641</v>
      </c>
      <c r="E167" s="97">
        <f t="shared" si="54"/>
        <v>9.636939516458197</v>
      </c>
      <c r="F167" s="97">
        <f t="shared" si="55"/>
        <v>11.144126838974767</v>
      </c>
    </row>
    <row r="168" spans="1:6">
      <c r="A168" s="97"/>
      <c r="C168" s="97">
        <f t="shared" si="53"/>
        <v>10.330105995164478</v>
      </c>
      <c r="E168" s="97">
        <f t="shared" si="54"/>
        <v>9.6273122042539434</v>
      </c>
      <c r="F168" s="97">
        <f t="shared" si="55"/>
        <v>11.166415092652716</v>
      </c>
    </row>
    <row r="169" spans="1:6">
      <c r="A169" s="97"/>
      <c r="C169" s="97">
        <f t="shared" si="53"/>
        <v>10.319786208955524</v>
      </c>
      <c r="E169" s="97">
        <f t="shared" si="54"/>
        <v>9.6176945097442008</v>
      </c>
      <c r="F169" s="97">
        <f t="shared" si="55"/>
        <v>11.188747922838022</v>
      </c>
    </row>
    <row r="170" spans="1:6">
      <c r="A170" s="97"/>
      <c r="C170" s="97">
        <f t="shared" si="53"/>
        <v>10.309476732223301</v>
      </c>
      <c r="E170" s="97">
        <f t="shared" si="54"/>
        <v>9.6080864233208807</v>
      </c>
      <c r="F170" s="97">
        <f t="shared" si="55"/>
        <v>11.211125418683698</v>
      </c>
    </row>
    <row r="171" spans="1:6">
      <c r="A171" s="97"/>
      <c r="C171" s="97">
        <f t="shared" si="53"/>
        <v>10.299177554668633</v>
      </c>
      <c r="E171" s="97">
        <f t="shared" si="54"/>
        <v>9.5984879353854957</v>
      </c>
      <c r="F171" s="97">
        <f t="shared" si="55"/>
        <v>11.233547669521066</v>
      </c>
    </row>
    <row r="172" spans="1:6">
      <c r="A172" s="97"/>
      <c r="C172" s="97">
        <f t="shared" si="53"/>
        <v>10.288888666002631</v>
      </c>
      <c r="E172" s="97">
        <f t="shared" si="54"/>
        <v>9.5888990363491473</v>
      </c>
      <c r="F172" s="97">
        <f t="shared" si="55"/>
        <v>11.256014764860108</v>
      </c>
    </row>
    <row r="173" spans="1:6">
      <c r="A173" s="97"/>
      <c r="C173" s="97">
        <f t="shared" si="53"/>
        <v>10.278610055946686</v>
      </c>
      <c r="E173" s="97">
        <f t="shared" si="54"/>
        <v>9.579319716632515</v>
      </c>
      <c r="F173" s="97">
        <f t="shared" si="55"/>
        <v>11.278526794389828</v>
      </c>
    </row>
    <row r="174" spans="1:6">
      <c r="A174" s="97"/>
      <c r="C174" s="97">
        <f t="shared" si="53"/>
        <v>10.268341714232454</v>
      </c>
      <c r="E174" s="97">
        <f t="shared" si="54"/>
        <v>9.5697499666658494</v>
      </c>
      <c r="F174" s="97">
        <f t="shared" si="55"/>
        <v>11.301083847978608</v>
      </c>
    </row>
    <row r="175" spans="1:6">
      <c r="A175" s="97"/>
      <c r="C175" s="97">
        <f t="shared" si="53"/>
        <v>10.258083630601853</v>
      </c>
      <c r="E175" s="97">
        <f t="shared" si="54"/>
        <v>9.5601897768889614</v>
      </c>
      <c r="F175" s="97">
        <f t="shared" si="55"/>
        <v>11.323686015674566</v>
      </c>
    </row>
    <row r="176" spans="1:6">
      <c r="A176" s="97"/>
      <c r="C176" s="97">
        <f t="shared" si="53"/>
        <v>10.247835794807047</v>
      </c>
      <c r="E176" s="97">
        <f t="shared" si="54"/>
        <v>9.5506391377512116</v>
      </c>
      <c r="F176" s="97">
        <f t="shared" si="55"/>
        <v>11.346333387705915</v>
      </c>
    </row>
    <row r="177" spans="1:6">
      <c r="A177" s="97"/>
      <c r="C177" s="97">
        <f t="shared" si="53"/>
        <v>10.237598196610438</v>
      </c>
      <c r="E177" s="97">
        <f t="shared" si="54"/>
        <v>9.5410980397115015</v>
      </c>
      <c r="F177" s="97">
        <f t="shared" si="55"/>
        <v>11.369026054481326</v>
      </c>
    </row>
    <row r="178" spans="1:6">
      <c r="A178" s="97"/>
      <c r="C178" s="97">
        <f t="shared" si="53"/>
        <v>10.227370825784655</v>
      </c>
      <c r="E178" s="97">
        <f t="shared" si="54"/>
        <v>9.5315664732382643</v>
      </c>
      <c r="F178" s="97">
        <f t="shared" si="55"/>
        <v>11.391764106590289</v>
      </c>
    </row>
    <row r="179" spans="1:6">
      <c r="A179" s="97"/>
      <c r="C179" s="97">
        <f t="shared" si="53"/>
        <v>10.217153672112543</v>
      </c>
      <c r="E179" s="97">
        <f t="shared" si="54"/>
        <v>9.5220444288094566</v>
      </c>
      <c r="F179" s="97">
        <f t="shared" si="55"/>
        <v>11.414547634803469</v>
      </c>
    </row>
    <row r="180" spans="1:6">
      <c r="A180" s="97"/>
      <c r="C180" s="97">
        <f t="shared" si="53"/>
        <v>10.206946725387157</v>
      </c>
      <c r="E180" s="97">
        <f t="shared" si="54"/>
        <v>9.5125318969125452</v>
      </c>
      <c r="F180" s="97">
        <f t="shared" si="55"/>
        <v>11.437376730073076</v>
      </c>
    </row>
    <row r="181" spans="1:6">
      <c r="A181" s="97"/>
      <c r="C181" s="97">
        <f t="shared" si="53"/>
        <v>10.196749975411747</v>
      </c>
      <c r="E181" s="97">
        <f t="shared" si="54"/>
        <v>9.5030288680445025</v>
      </c>
      <c r="F181" s="97">
        <f t="shared" si="55"/>
        <v>11.460251483533222</v>
      </c>
    </row>
    <row r="182" spans="1:6">
      <c r="A182" s="97"/>
      <c r="C182" s="97">
        <f t="shared" si="53"/>
        <v>10.186563411999748</v>
      </c>
      <c r="E182" s="97">
        <f t="shared" si="54"/>
        <v>9.493535332711792</v>
      </c>
      <c r="F182" s="97">
        <f t="shared" si="55"/>
        <v>11.483171986500288</v>
      </c>
    </row>
    <row r="183" spans="1:6">
      <c r="A183" s="97"/>
      <c r="C183" s="97">
        <f t="shared" si="53"/>
        <v>10.176387024974774</v>
      </c>
      <c r="E183" s="97">
        <f t="shared" si="54"/>
        <v>9.4840512814303626</v>
      </c>
      <c r="F183" s="97">
        <f t="shared" si="55"/>
        <v>11.50613833047329</v>
      </c>
    </row>
    <row r="184" spans="1:6">
      <c r="A184" s="97"/>
      <c r="C184" s="97">
        <f t="shared" si="53"/>
        <v>10.166220804170605</v>
      </c>
      <c r="E184" s="97">
        <f t="shared" si="54"/>
        <v>9.4745767047256386</v>
      </c>
      <c r="F184" s="97">
        <f t="shared" si="55"/>
        <v>11.529150607134236</v>
      </c>
    </row>
    <row r="185" spans="1:6">
      <c r="A185" s="97"/>
      <c r="C185" s="97">
        <f t="shared" si="53"/>
        <v>10.156064739431175</v>
      </c>
      <c r="E185" s="97">
        <f t="shared" si="54"/>
        <v>9.4651115931325069</v>
      </c>
      <c r="F185" s="97">
        <f t="shared" si="55"/>
        <v>11.552208908348504</v>
      </c>
    </row>
    <row r="186" spans="1:6">
      <c r="A186" s="97"/>
      <c r="C186" s="97">
        <f t="shared" si="53"/>
        <v>10.145918820610564</v>
      </c>
      <c r="E186" s="97">
        <f t="shared" si="54"/>
        <v>9.4556559371953135</v>
      </c>
      <c r="F186" s="97">
        <f t="shared" si="55"/>
        <v>11.575313326165201</v>
      </c>
    </row>
    <row r="187" spans="1:6">
      <c r="A187" s="97"/>
      <c r="C187" s="97">
        <f t="shared" si="53"/>
        <v>10.135783037572992</v>
      </c>
      <c r="E187" s="97">
        <f t="shared" si="54"/>
        <v>9.4462097274678474</v>
      </c>
      <c r="F187" s="97">
        <f t="shared" si="55"/>
        <v>11.598463952817532</v>
      </c>
    </row>
    <row r="188" spans="1:6">
      <c r="A188" s="97"/>
      <c r="C188" s="97">
        <f t="shared" si="53"/>
        <v>10.1256573801928</v>
      </c>
      <c r="E188" s="97">
        <f t="shared" si="54"/>
        <v>9.4367729545133354</v>
      </c>
      <c r="F188" s="97">
        <f t="shared" si="55"/>
        <v>11.621660880723168</v>
      </c>
    </row>
    <row r="189" spans="1:6">
      <c r="A189" s="97"/>
      <c r="C189" s="97">
        <f t="shared" si="53"/>
        <v>10.115541838354448</v>
      </c>
      <c r="E189" s="97">
        <f t="shared" si="54"/>
        <v>9.4273456089044316</v>
      </c>
      <c r="F189" s="97">
        <f t="shared" si="55"/>
        <v>11.644904202484614</v>
      </c>
    </row>
    <row r="190" spans="1:6">
      <c r="A190" s="97"/>
      <c r="C190" s="97">
        <f t="shared" si="53"/>
        <v>10.105436401952495</v>
      </c>
      <c r="E190" s="97">
        <f t="shared" si="54"/>
        <v>9.41792768122321</v>
      </c>
      <c r="F190" s="97">
        <f t="shared" si="55"/>
        <v>11.668194010889584</v>
      </c>
    </row>
    <row r="191" spans="1:6">
      <c r="A191" s="97"/>
      <c r="C191" s="97">
        <f t="shared" si="53"/>
        <v>10.095341060891604</v>
      </c>
      <c r="D191" t="s">
        <v>25</v>
      </c>
      <c r="E191" s="97">
        <f t="shared" si="54"/>
        <v>9.4085191620611504</v>
      </c>
      <c r="F191" s="97">
        <f t="shared" si="55"/>
        <v>11.691530398911363</v>
      </c>
    </row>
    <row r="192" spans="1:6">
      <c r="A192" s="97"/>
      <c r="C192" s="97">
        <f t="shared" si="53"/>
        <v>10.085255805086518</v>
      </c>
      <c r="E192" s="97">
        <f t="shared" si="54"/>
        <v>9.399120042019133</v>
      </c>
      <c r="F192" s="97">
        <f t="shared" si="55"/>
        <v>11.714913459709186</v>
      </c>
    </row>
    <row r="193" spans="1:6">
      <c r="A193" s="97"/>
      <c r="C193" s="97">
        <f t="shared" si="53"/>
        <v>10.075180624462057</v>
      </c>
      <c r="E193" s="97">
        <f t="shared" si="54"/>
        <v>9.3897303117074262</v>
      </c>
      <c r="F193" s="97">
        <f t="shared" si="55"/>
        <v>11.738343286628604</v>
      </c>
    </row>
    <row r="194" spans="1:6">
      <c r="A194" s="97"/>
      <c r="C194" s="97">
        <f t="shared" si="53"/>
        <v>10.065115508953104</v>
      </c>
      <c r="E194" s="97">
        <f t="shared" si="54"/>
        <v>9.3803499617456811</v>
      </c>
      <c r="F194" s="97">
        <f t="shared" si="55"/>
        <v>11.761819973201861</v>
      </c>
    </row>
    <row r="195" spans="1:6">
      <c r="A195" s="97"/>
      <c r="C195" s="97">
        <f t="shared" si="53"/>
        <v>10.0550604485046</v>
      </c>
      <c r="E195" s="97">
        <f t="shared" si="54"/>
        <v>9.3709789827629191</v>
      </c>
      <c r="F195" s="97">
        <f t="shared" si="55"/>
        <v>11.785343613148266</v>
      </c>
    </row>
    <row r="196" spans="1:6">
      <c r="A196" s="97"/>
      <c r="C196" s="97">
        <f t="shared" ref="C196:C197" si="56">C195/1.001</f>
        <v>10.04501543307153</v>
      </c>
      <c r="E196" s="97">
        <f t="shared" ref="E196:E197" si="57">E195/1.001</f>
        <v>9.3616173653975228</v>
      </c>
      <c r="F196" s="97">
        <f t="shared" ref="F196:F197" si="58">F195*1.002</f>
        <v>11.808914300374562</v>
      </c>
    </row>
    <row r="197" spans="1:6">
      <c r="A197" s="97"/>
      <c r="C197" s="97">
        <f t="shared" si="56"/>
        <v>10.034980452618912</v>
      </c>
      <c r="E197" s="97">
        <f t="shared" si="57"/>
        <v>9.3522651002972257</v>
      </c>
      <c r="F197" s="97">
        <f t="shared" si="58"/>
        <v>11.832532128975311</v>
      </c>
    </row>
    <row r="198" spans="1:6">
      <c r="A198" s="94"/>
    </row>
    <row r="199" spans="1:6">
      <c r="A199" s="94"/>
    </row>
    <row r="200" spans="1:6">
      <c r="A200" s="94"/>
    </row>
    <row r="201" spans="1:6">
      <c r="A201" s="94"/>
    </row>
    <row r="202" spans="1:6">
      <c r="A202" s="94"/>
    </row>
    <row r="203" spans="1:6">
      <c r="A203" s="94"/>
    </row>
    <row r="204" spans="1:6">
      <c r="A204" s="94"/>
    </row>
    <row r="205" spans="1:6">
      <c r="A205" s="94"/>
    </row>
    <row r="206" spans="1:6">
      <c r="A206" s="94"/>
    </row>
    <row r="207" spans="1:6">
      <c r="A207" s="94"/>
    </row>
    <row r="208" spans="1:6">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3">
      <c r="A273" s="94"/>
      <c r="C273" t="s">
        <v>25</v>
      </c>
    </row>
    <row r="274" spans="1:3">
      <c r="A274" s="94"/>
    </row>
    <row r="275" spans="1:3">
      <c r="A275" s="94"/>
    </row>
    <row r="276" spans="1:3">
      <c r="A276" s="94"/>
    </row>
    <row r="277" spans="1:3">
      <c r="A277" s="94"/>
    </row>
    <row r="278" spans="1:3">
      <c r="A278" s="94"/>
    </row>
    <row r="279" spans="1:3">
      <c r="A279" s="94"/>
    </row>
    <row r="280" spans="1:3">
      <c r="A280" s="94"/>
    </row>
    <row r="281" spans="1:3">
      <c r="A281" s="94"/>
    </row>
    <row r="282" spans="1:3">
      <c r="A282" s="94"/>
    </row>
    <row r="283" spans="1:3">
      <c r="A283" s="94"/>
    </row>
    <row r="284" spans="1:3">
      <c r="A284" s="94"/>
    </row>
    <row r="285" spans="1:3">
      <c r="A285" s="94"/>
    </row>
    <row r="286" spans="1:3">
      <c r="A286" s="94"/>
    </row>
    <row r="287" spans="1:3">
      <c r="A287" s="94"/>
    </row>
    <row r="288" spans="1:3">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row r="300" spans="1:1">
      <c r="A300" s="94"/>
    </row>
    <row r="301" spans="1:1">
      <c r="A301" s="94"/>
    </row>
    <row r="302" spans="1:1">
      <c r="A302"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5"/>
  <sheetViews>
    <sheetView topLeftCell="H425" zoomScale="85" zoomScaleNormal="85" workbookViewId="0">
      <selection activeCell="S449" sqref="S44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5177</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5178</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5180</v>
      </c>
      <c r="J217" s="240">
        <f>L217-L216-50000</f>
        <v>-3947893</v>
      </c>
      <c r="K217" s="213" t="s">
        <v>5179</v>
      </c>
      <c r="L217" s="241">
        <v>1010326365</v>
      </c>
      <c r="M217" s="241">
        <v>632690003</v>
      </c>
      <c r="N217" s="240">
        <f t="shared" si="23"/>
        <v>1643016368</v>
      </c>
      <c r="O217" s="240">
        <f t="shared" si="24"/>
        <v>-2811879</v>
      </c>
      <c r="P217" s="240">
        <f>N217-N216-50000</f>
        <v>-6759772</v>
      </c>
      <c r="Q217" s="225">
        <v>50000</v>
      </c>
    </row>
    <row r="218" spans="9:19">
      <c r="I218" s="213" t="s">
        <v>5182</v>
      </c>
      <c r="J218" s="240">
        <f>L218-L217-400000</f>
        <v>-7352281</v>
      </c>
      <c r="K218" s="213" t="s">
        <v>5184</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5186</v>
      </c>
      <c r="L219" s="82">
        <v>999517682</v>
      </c>
      <c r="M219" s="82">
        <v>627640361</v>
      </c>
      <c r="N219" s="111">
        <f t="shared" si="23"/>
        <v>1627158043</v>
      </c>
      <c r="O219" s="111">
        <f t="shared" si="24"/>
        <v>-1762209</v>
      </c>
      <c r="P219" s="111">
        <f t="shared" si="25"/>
        <v>-5618611</v>
      </c>
      <c r="Q219" s="225">
        <v>0</v>
      </c>
    </row>
    <row r="220" spans="9:19">
      <c r="I220" s="187" t="s">
        <v>5188</v>
      </c>
      <c r="J220" s="186">
        <f t="shared" si="21"/>
        <v>30762624</v>
      </c>
      <c r="K220" s="187" t="s">
        <v>5187</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5192</v>
      </c>
      <c r="J222" s="269">
        <f>L222-L221+7000000</f>
        <v>4431891</v>
      </c>
      <c r="K222" s="268" t="s">
        <v>5193</v>
      </c>
      <c r="L222" s="270">
        <v>1011364540</v>
      </c>
      <c r="M222" s="270">
        <v>634014280</v>
      </c>
      <c r="N222" s="269">
        <f t="shared" si="23"/>
        <v>1645378820</v>
      </c>
      <c r="O222" s="269">
        <f t="shared" si="24"/>
        <v>-1137902</v>
      </c>
      <c r="P222" s="269">
        <f>N222-N221+7000000</f>
        <v>3293989</v>
      </c>
      <c r="Q222" s="225">
        <v>-7000000</v>
      </c>
    </row>
    <row r="223" spans="9:19">
      <c r="I223" s="213" t="s">
        <v>5195</v>
      </c>
      <c r="J223" s="240">
        <f t="shared" si="21"/>
        <v>-12364540</v>
      </c>
      <c r="K223" s="213" t="s">
        <v>5194</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5196</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5197</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5198</v>
      </c>
      <c r="L226" s="82">
        <v>995000000</v>
      </c>
      <c r="M226" s="82">
        <v>625000000</v>
      </c>
      <c r="N226" s="111">
        <f t="shared" si="23"/>
        <v>1620000000</v>
      </c>
      <c r="O226" s="111">
        <f t="shared" si="24"/>
        <v>-2621912</v>
      </c>
      <c r="P226" s="111">
        <f t="shared" si="25"/>
        <v>-8262288</v>
      </c>
      <c r="Q226" s="225">
        <v>0</v>
      </c>
    </row>
    <row r="227" spans="9:19">
      <c r="I227" s="187" t="s">
        <v>5199</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5201</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5202</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5203</v>
      </c>
      <c r="L230" s="82">
        <v>981346829</v>
      </c>
      <c r="M230" s="82">
        <v>616768631</v>
      </c>
      <c r="N230" s="111">
        <f>L230+M230</f>
        <v>1598115460</v>
      </c>
      <c r="O230" s="111">
        <f t="shared" si="24"/>
        <v>-231369</v>
      </c>
      <c r="P230" s="111">
        <f t="shared" si="25"/>
        <v>-2584540</v>
      </c>
      <c r="Q230" s="225">
        <v>0</v>
      </c>
    </row>
    <row r="231" spans="9:19">
      <c r="I231" s="187" t="s">
        <v>5205</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5204</v>
      </c>
      <c r="L232" s="82">
        <v>982764273</v>
      </c>
      <c r="M232" s="82">
        <v>618232370</v>
      </c>
      <c r="N232" s="111">
        <f t="shared" si="23"/>
        <v>1600996643</v>
      </c>
      <c r="O232" s="111">
        <f t="shared" si="24"/>
        <v>9817180</v>
      </c>
      <c r="P232" s="111">
        <f t="shared" si="25"/>
        <v>27833689</v>
      </c>
      <c r="Q232" s="225">
        <v>0</v>
      </c>
    </row>
    <row r="233" spans="9:19">
      <c r="I233" s="187" t="s">
        <v>5208</v>
      </c>
      <c r="J233" s="186">
        <f>L233-L232+990760</f>
        <v>270597</v>
      </c>
      <c r="K233" s="187" t="s">
        <v>5207</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5209</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5210</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5213</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5214</v>
      </c>
      <c r="L237" s="82">
        <v>973935836</v>
      </c>
      <c r="M237" s="82">
        <v>612781866</v>
      </c>
      <c r="N237" s="111">
        <f t="shared" si="23"/>
        <v>1586717702</v>
      </c>
      <c r="O237" s="111">
        <f t="shared" si="24"/>
        <v>-4703074</v>
      </c>
      <c r="P237" s="111">
        <f t="shared" si="25"/>
        <v>-14274043</v>
      </c>
      <c r="Q237" s="225">
        <v>0</v>
      </c>
    </row>
    <row r="238" spans="9:19">
      <c r="I238" s="213" t="s">
        <v>5216</v>
      </c>
      <c r="J238" s="240">
        <f>L238-L237-101268</f>
        <v>10034013</v>
      </c>
      <c r="K238" s="213" t="s">
        <v>5215</v>
      </c>
      <c r="L238" s="241">
        <v>984071117</v>
      </c>
      <c r="M238" s="241">
        <v>619527192</v>
      </c>
      <c r="N238" s="240">
        <f t="shared" si="23"/>
        <v>1603598309</v>
      </c>
      <c r="O238" s="240">
        <f t="shared" si="24"/>
        <v>6745326</v>
      </c>
      <c r="P238" s="240">
        <f>N238-N237-101268</f>
        <v>16779339</v>
      </c>
      <c r="Q238" s="225">
        <v>101268</v>
      </c>
    </row>
    <row r="239" spans="9:19">
      <c r="I239" s="271" t="s">
        <v>5217</v>
      </c>
      <c r="J239" s="92">
        <f>L239-L238-101000</f>
        <v>-5512506</v>
      </c>
      <c r="K239" s="271" t="s">
        <v>5218</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5219</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5221</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5223</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5224</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5225</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5228</v>
      </c>
      <c r="L246" s="82">
        <v>998587209</v>
      </c>
      <c r="M246" s="82">
        <v>628989460</v>
      </c>
      <c r="N246" s="111">
        <f t="shared" si="27"/>
        <v>1627576669</v>
      </c>
      <c r="O246" s="111">
        <f t="shared" si="28"/>
        <v>-386804</v>
      </c>
      <c r="P246" s="111">
        <f t="shared" si="28"/>
        <v>-378799</v>
      </c>
      <c r="Q246" s="225">
        <v>0</v>
      </c>
    </row>
    <row r="247" spans="9:19">
      <c r="I247" s="187" t="s">
        <v>5230</v>
      </c>
      <c r="J247" s="186">
        <f t="shared" si="26"/>
        <v>57939414</v>
      </c>
      <c r="K247" s="187" t="s">
        <v>5229</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5231</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5232</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5233</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5234</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5235</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5236</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5237</v>
      </c>
      <c r="L255" s="82">
        <v>1154946925</v>
      </c>
      <c r="M255" s="82">
        <v>724493233</v>
      </c>
      <c r="N255" s="216">
        <f t="shared" si="31"/>
        <v>1879440158</v>
      </c>
      <c r="O255" s="111">
        <f t="shared" si="32"/>
        <v>3771085</v>
      </c>
      <c r="P255" s="111">
        <f t="shared" si="33"/>
        <v>9561690</v>
      </c>
      <c r="Q255" s="225">
        <v>0</v>
      </c>
    </row>
    <row r="256" spans="9:19">
      <c r="I256" s="210" t="s">
        <v>5238</v>
      </c>
      <c r="J256" s="111">
        <f t="shared" si="30"/>
        <v>40761008</v>
      </c>
      <c r="K256" s="210" t="s">
        <v>5239</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5241</v>
      </c>
      <c r="L257" s="82">
        <v>1204397532</v>
      </c>
      <c r="M257" s="82">
        <v>768290500</v>
      </c>
      <c r="N257" s="216">
        <f t="shared" si="31"/>
        <v>1972688032</v>
      </c>
      <c r="O257" s="111">
        <f t="shared" si="32"/>
        <v>4065339</v>
      </c>
      <c r="P257" s="111">
        <f t="shared" si="33"/>
        <v>12754938</v>
      </c>
      <c r="Q257" s="225">
        <v>0</v>
      </c>
    </row>
    <row r="258" spans="9:19">
      <c r="I258" s="187" t="s">
        <v>5244</v>
      </c>
      <c r="J258" s="186">
        <f>L258-L257+488602</f>
        <v>5275127</v>
      </c>
      <c r="K258" s="187" t="s">
        <v>5242</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5243</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5246</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5251</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5257</v>
      </c>
      <c r="L262" s="82">
        <v>1153433035</v>
      </c>
      <c r="M262" s="82">
        <v>736240181</v>
      </c>
      <c r="N262" s="111">
        <f t="shared" si="31"/>
        <v>1889673216</v>
      </c>
      <c r="O262" s="111">
        <f t="shared" si="32"/>
        <v>-19759819</v>
      </c>
      <c r="P262" s="111">
        <f t="shared" si="33"/>
        <v>-46326784</v>
      </c>
      <c r="Q262" s="225">
        <v>0</v>
      </c>
    </row>
    <row r="263" spans="9:19">
      <c r="I263" s="213" t="s">
        <v>5259</v>
      </c>
      <c r="J263" s="240">
        <f>L263-L262-360000</f>
        <v>-33793035</v>
      </c>
      <c r="K263" s="213" t="s">
        <v>5258</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5260</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5263</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5264</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5265</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5269</v>
      </c>
      <c r="J268" s="186">
        <f>L268-L267+3600000</f>
        <v>6784521</v>
      </c>
      <c r="K268" s="187" t="s">
        <v>5266</v>
      </c>
      <c r="L268" s="233">
        <v>1227517149</v>
      </c>
      <c r="M268" s="233">
        <v>781946723</v>
      </c>
      <c r="N268" s="216">
        <f>L268+M268</f>
        <v>2009463872</v>
      </c>
      <c r="O268" s="186">
        <f t="shared" si="36"/>
        <v>648802</v>
      </c>
      <c r="P268" s="186">
        <f>N268-N267+3600000</f>
        <v>7433323</v>
      </c>
      <c r="Q268" s="225">
        <v>-3600000</v>
      </c>
    </row>
    <row r="269" spans="9:19">
      <c r="I269" s="213" t="s">
        <v>5271</v>
      </c>
      <c r="J269" s="240">
        <f t="shared" si="34"/>
        <v>8668842</v>
      </c>
      <c r="K269" s="213" t="s">
        <v>5268</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5275</v>
      </c>
      <c r="L270" s="82">
        <v>1295586377</v>
      </c>
      <c r="M270" s="82">
        <v>830602955</v>
      </c>
      <c r="N270" s="216">
        <f t="shared" si="35"/>
        <v>2126189332</v>
      </c>
      <c r="O270" s="111">
        <f t="shared" si="36"/>
        <v>39667491</v>
      </c>
      <c r="P270" s="111">
        <f>N270-N269</f>
        <v>99067877</v>
      </c>
      <c r="Q270" s="225">
        <v>0</v>
      </c>
    </row>
    <row r="271" spans="9:19">
      <c r="I271" s="187" t="s">
        <v>5277</v>
      </c>
      <c r="J271" s="186">
        <f>L271-L270+1000000</f>
        <v>21062163</v>
      </c>
      <c r="K271" s="187" t="s">
        <v>5276</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5279</v>
      </c>
      <c r="L272" s="82">
        <v>1290000000</v>
      </c>
      <c r="M272" s="82">
        <v>830000000</v>
      </c>
      <c r="N272" s="111">
        <f t="shared" si="35"/>
        <v>2120000000</v>
      </c>
      <c r="O272" s="111">
        <f t="shared" si="36"/>
        <v>-7889920</v>
      </c>
      <c r="P272" s="111">
        <f>N272-N271</f>
        <v>-33538460</v>
      </c>
    </row>
    <row r="273" spans="4:23">
      <c r="I273" s="210"/>
      <c r="J273" s="111">
        <f t="shared" si="34"/>
        <v>5173477</v>
      </c>
      <c r="K273" s="210" t="s">
        <v>5283</v>
      </c>
      <c r="L273" s="82">
        <v>1295173477</v>
      </c>
      <c r="M273" s="82">
        <v>832119130</v>
      </c>
      <c r="N273" s="111">
        <f t="shared" si="35"/>
        <v>2127292607</v>
      </c>
      <c r="O273" s="111">
        <f t="shared" si="36"/>
        <v>2119130</v>
      </c>
      <c r="P273" s="111">
        <f>N273-N272</f>
        <v>7292607</v>
      </c>
    </row>
    <row r="274" spans="4:23">
      <c r="D274" t="s">
        <v>25</v>
      </c>
      <c r="I274" s="213" t="s">
        <v>5259</v>
      </c>
      <c r="J274" s="240">
        <f>L274-L273-360000</f>
        <v>-3379409</v>
      </c>
      <c r="K274" s="213" t="s">
        <v>5284</v>
      </c>
      <c r="L274" s="241">
        <v>1292154068</v>
      </c>
      <c r="M274" s="241">
        <v>833033746</v>
      </c>
      <c r="N274" s="240">
        <f t="shared" si="35"/>
        <v>2125187814</v>
      </c>
      <c r="O274" s="240">
        <f t="shared" si="36"/>
        <v>914616</v>
      </c>
      <c r="P274" s="240">
        <f>N274-N273-360000</f>
        <v>-2464793</v>
      </c>
      <c r="Q274" s="225">
        <v>360000</v>
      </c>
    </row>
    <row r="275" spans="4:23">
      <c r="I275" s="213" t="s">
        <v>5288</v>
      </c>
      <c r="J275" s="240">
        <f>L275-L274-2000000</f>
        <v>-22946012</v>
      </c>
      <c r="K275" s="213" t="s">
        <v>5287</v>
      </c>
      <c r="L275" s="241">
        <v>1271208056</v>
      </c>
      <c r="M275" s="241">
        <v>825161254</v>
      </c>
      <c r="N275" s="240">
        <f t="shared" si="35"/>
        <v>2096369310</v>
      </c>
      <c r="O275" s="240">
        <f t="shared" si="36"/>
        <v>-7872492</v>
      </c>
      <c r="P275" s="240">
        <f>N275-N274-2000000</f>
        <v>-30818504</v>
      </c>
      <c r="Q275" s="225">
        <v>2000000</v>
      </c>
    </row>
    <row r="276" spans="4:23">
      <c r="I276" s="213" t="s">
        <v>5292</v>
      </c>
      <c r="J276" s="240">
        <f>L276-L275-15300000</f>
        <v>32802006</v>
      </c>
      <c r="K276" s="213" t="s">
        <v>5290</v>
      </c>
      <c r="L276" s="241">
        <v>1319310062</v>
      </c>
      <c r="M276" s="241">
        <v>846171439</v>
      </c>
      <c r="N276" s="240">
        <f t="shared" si="35"/>
        <v>2165481501</v>
      </c>
      <c r="O276" s="240">
        <f>M276-M275-200000</f>
        <v>20810185</v>
      </c>
      <c r="P276" s="240">
        <f>N276-N275-15500000</f>
        <v>53612191</v>
      </c>
      <c r="Q276" s="225">
        <v>15500000</v>
      </c>
    </row>
    <row r="277" spans="4:23">
      <c r="I277" s="213" t="s">
        <v>5295</v>
      </c>
      <c r="J277" s="240">
        <f>L277-L276-3000000</f>
        <v>12429762</v>
      </c>
      <c r="K277" s="213" t="s">
        <v>5294</v>
      </c>
      <c r="L277" s="241">
        <v>1334739824</v>
      </c>
      <c r="M277" s="241">
        <v>848815156</v>
      </c>
      <c r="N277" s="216">
        <f t="shared" si="35"/>
        <v>2183554980</v>
      </c>
      <c r="O277" s="240">
        <f>M277-M276-50000</f>
        <v>2593717</v>
      </c>
      <c r="P277" s="240">
        <f>N277-N276-3050000</f>
        <v>15023479</v>
      </c>
      <c r="Q277" s="225">
        <v>3050000</v>
      </c>
    </row>
    <row r="278" spans="4:23">
      <c r="I278" s="213" t="s">
        <v>5299</v>
      </c>
      <c r="J278" s="240">
        <f>L278-L277-1680000</f>
        <v>-15903030</v>
      </c>
      <c r="K278" s="213" t="s">
        <v>5297</v>
      </c>
      <c r="L278" s="241">
        <v>1320516794</v>
      </c>
      <c r="M278" s="241">
        <v>834312363</v>
      </c>
      <c r="N278" s="240">
        <f t="shared" si="35"/>
        <v>2154829157</v>
      </c>
      <c r="O278" s="240">
        <f>M278-M277-100000</f>
        <v>-14602793</v>
      </c>
      <c r="P278" s="240">
        <f>N278-N277-1600000</f>
        <v>-30325823</v>
      </c>
      <c r="Q278" s="225">
        <v>1780000</v>
      </c>
      <c r="S278" t="s">
        <v>25</v>
      </c>
    </row>
    <row r="279" spans="4:23">
      <c r="I279" s="213" t="s">
        <v>5301</v>
      </c>
      <c r="J279" s="240">
        <f>L279-L278-30000000</f>
        <v>3387493</v>
      </c>
      <c r="K279" s="213" t="s">
        <v>5300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5314</v>
      </c>
      <c r="L284" s="82">
        <v>1473439379</v>
      </c>
      <c r="M284" s="82">
        <v>906774030</v>
      </c>
      <c r="N284" s="216">
        <f t="shared" si="38"/>
        <v>2380213409</v>
      </c>
      <c r="O284" s="111">
        <f t="shared" si="39"/>
        <v>14380845</v>
      </c>
      <c r="P284" s="111">
        <f t="shared" si="40"/>
        <v>32061881</v>
      </c>
      <c r="Q284" s="225">
        <v>0</v>
      </c>
    </row>
    <row r="285" spans="4:23">
      <c r="I285" s="187" t="s">
        <v>5317</v>
      </c>
      <c r="J285" s="186">
        <f t="shared" si="37"/>
        <v>4331396</v>
      </c>
      <c r="K285" s="187" t="s">
        <v>5315</v>
      </c>
      <c r="L285" s="233">
        <v>1477770775</v>
      </c>
      <c r="M285" s="233">
        <v>915475851</v>
      </c>
      <c r="N285" s="216">
        <f t="shared" si="38"/>
        <v>2393246626</v>
      </c>
      <c r="O285" s="186">
        <f>M285-M284+550000</f>
        <v>9251821</v>
      </c>
      <c r="P285" s="186">
        <f>N285-N284+550000</f>
        <v>13583217</v>
      </c>
      <c r="Q285" s="225">
        <v>-550000</v>
      </c>
    </row>
    <row r="286" spans="4:23">
      <c r="I286" s="187" t="s">
        <v>5321</v>
      </c>
      <c r="J286" s="186">
        <f t="shared" si="37"/>
        <v>39081054</v>
      </c>
      <c r="K286" s="187" t="s">
        <v>5319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5320</v>
      </c>
      <c r="L287" s="82">
        <v>1560436105</v>
      </c>
      <c r="M287" s="82">
        <v>940791901</v>
      </c>
      <c r="N287" s="216">
        <f t="shared" si="38"/>
        <v>2501228006</v>
      </c>
      <c r="O287" s="111">
        <f t="shared" si="39"/>
        <v>35665189</v>
      </c>
      <c r="P287" s="111">
        <f t="shared" si="40"/>
        <v>79249465</v>
      </c>
      <c r="Q287" s="225">
        <v>0</v>
      </c>
    </row>
    <row r="288" spans="4:23">
      <c r="I288" s="187" t="s">
        <v>5331</v>
      </c>
      <c r="J288" s="186">
        <f t="shared" si="37"/>
        <v>83455296</v>
      </c>
      <c r="K288" s="187" t="s">
        <v>5330</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5333</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5338</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5344</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5353</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5376</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5375</v>
      </c>
      <c r="L294" s="82">
        <v>1775456973</v>
      </c>
      <c r="M294" s="82">
        <v>1056375788</v>
      </c>
      <c r="N294" s="216">
        <f t="shared" si="38"/>
        <v>2831832761</v>
      </c>
      <c r="O294" s="111">
        <f t="shared" si="39"/>
        <v>11375788</v>
      </c>
      <c r="P294" s="111">
        <f t="shared" si="40"/>
        <v>26832761</v>
      </c>
      <c r="Q294" s="225">
        <v>0</v>
      </c>
    </row>
    <row r="295" spans="9:21">
      <c r="I295" s="210" t="s">
        <v>5385</v>
      </c>
      <c r="J295" s="111">
        <f>L295-L294-3000000</f>
        <v>19422686</v>
      </c>
      <c r="K295" s="210" t="s">
        <v>5379</v>
      </c>
      <c r="L295" s="82">
        <v>1797879659</v>
      </c>
      <c r="M295" s="82">
        <v>1054864328</v>
      </c>
      <c r="N295" s="216">
        <f t="shared" si="38"/>
        <v>2852743987</v>
      </c>
      <c r="O295" s="111">
        <f t="shared" si="39"/>
        <v>-1511460</v>
      </c>
      <c r="P295" s="111">
        <f>N295-N294-3000000</f>
        <v>17911226</v>
      </c>
      <c r="Q295" s="225">
        <v>3000000</v>
      </c>
    </row>
    <row r="296" spans="9:21">
      <c r="I296" s="213" t="s">
        <v>5386</v>
      </c>
      <c r="J296" s="240">
        <f>L296-L295-7000000</f>
        <v>-47124934</v>
      </c>
      <c r="K296" s="213" t="s">
        <v>5380</v>
      </c>
      <c r="L296" s="241">
        <v>1757754725</v>
      </c>
      <c r="M296" s="241">
        <v>1037677810</v>
      </c>
      <c r="N296" s="240">
        <f t="shared" si="38"/>
        <v>2795432535</v>
      </c>
      <c r="O296" s="240">
        <f>M296-M295+4190000</f>
        <v>-12996518</v>
      </c>
      <c r="P296" s="240">
        <f>N296-N295+4190000-7000000</f>
        <v>-60121452</v>
      </c>
      <c r="Q296" s="225">
        <v>2810000</v>
      </c>
    </row>
    <row r="297" spans="9:21">
      <c r="I297" s="213" t="s">
        <v>5395</v>
      </c>
      <c r="J297" s="240">
        <f t="shared" si="37"/>
        <v>-53501669</v>
      </c>
      <c r="K297" s="213" t="s">
        <v>5388</v>
      </c>
      <c r="L297" s="241">
        <v>1704253056</v>
      </c>
      <c r="M297" s="241">
        <v>973497834</v>
      </c>
      <c r="N297" s="240">
        <f t="shared" si="38"/>
        <v>2677750890</v>
      </c>
      <c r="O297" s="240">
        <f>M297-M296+26000000</f>
        <v>-38179976</v>
      </c>
      <c r="P297" s="240">
        <f>N297-N296+26000000</f>
        <v>-91681645</v>
      </c>
      <c r="Q297" s="225">
        <v>-26000000</v>
      </c>
    </row>
    <row r="298" spans="9:21">
      <c r="I298" s="213" t="s">
        <v>5397</v>
      </c>
      <c r="J298" s="240">
        <f>L298-L297-8800000</f>
        <v>26691445</v>
      </c>
      <c r="K298" s="213" t="s">
        <v>5393</v>
      </c>
      <c r="L298" s="241">
        <v>1739744501</v>
      </c>
      <c r="M298" s="241">
        <v>914540569</v>
      </c>
      <c r="N298" s="240">
        <f t="shared" si="38"/>
        <v>2654285070</v>
      </c>
      <c r="O298" s="240">
        <f>M298-M297+81800000</f>
        <v>22842735</v>
      </c>
      <c r="P298" s="240">
        <f>N298-N297+73000000</f>
        <v>49534180</v>
      </c>
      <c r="Q298" s="225">
        <v>-73000000</v>
      </c>
    </row>
    <row r="299" spans="9:21">
      <c r="I299" s="213" t="s">
        <v>5401</v>
      </c>
      <c r="J299" s="240">
        <f t="shared" si="37"/>
        <v>32696702</v>
      </c>
      <c r="K299" s="213" t="s">
        <v>5394</v>
      </c>
      <c r="L299" s="241">
        <v>1772441203</v>
      </c>
      <c r="M299" s="241">
        <v>900025831</v>
      </c>
      <c r="N299" s="240">
        <f t="shared" si="38"/>
        <v>2672467034</v>
      </c>
      <c r="O299" s="240">
        <f>M299-M298+34000000</f>
        <v>19485262</v>
      </c>
      <c r="P299" s="240">
        <f>N299-N298+34000000</f>
        <v>52181964</v>
      </c>
      <c r="Q299" s="225">
        <v>-34000000</v>
      </c>
    </row>
    <row r="300" spans="9:21">
      <c r="I300" s="187" t="s">
        <v>5404</v>
      </c>
      <c r="J300" s="186">
        <f>L300-L299-40000000</f>
        <v>74215198</v>
      </c>
      <c r="K300" s="187" t="s">
        <v>5399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5195</v>
      </c>
      <c r="J301" s="186">
        <f t="shared" si="37"/>
        <v>39912599</v>
      </c>
      <c r="K301" s="187" t="s">
        <v>5400</v>
      </c>
      <c r="L301" s="233">
        <v>1926569000</v>
      </c>
      <c r="M301" s="233">
        <v>959442000</v>
      </c>
      <c r="N301" s="216">
        <f t="shared" si="38"/>
        <v>2886011000</v>
      </c>
      <c r="O301" s="186">
        <f>M301-M300-300000</f>
        <v>21646377</v>
      </c>
      <c r="P301" s="186">
        <f>N301-N300-300000</f>
        <v>61558976</v>
      </c>
      <c r="Q301" s="225">
        <v>300000</v>
      </c>
    </row>
    <row r="302" spans="9:21">
      <c r="I302" s="187" t="s">
        <v>5410</v>
      </c>
      <c r="J302" s="186">
        <f t="shared" si="37"/>
        <v>-55865388</v>
      </c>
      <c r="K302" s="187" t="s">
        <v>5409</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5412</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5414</v>
      </c>
      <c r="L304" s="82">
        <v>1773000000</v>
      </c>
      <c r="M304" s="82">
        <v>879000000</v>
      </c>
      <c r="N304" s="111">
        <f t="shared" si="38"/>
        <v>2652000000</v>
      </c>
      <c r="O304" s="111">
        <f t="shared" si="39"/>
        <v>217170</v>
      </c>
      <c r="P304" s="111">
        <f t="shared" si="40"/>
        <v>-212651</v>
      </c>
      <c r="Q304" s="225">
        <v>0</v>
      </c>
    </row>
    <row r="305" spans="9:17">
      <c r="I305" s="210" t="s">
        <v>5416</v>
      </c>
      <c r="J305" s="111">
        <f>L305-L304-400000</f>
        <v>-400000</v>
      </c>
      <c r="K305" s="210" t="s">
        <v>5415</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5422</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5435</v>
      </c>
      <c r="L307" s="82">
        <v>1627606378</v>
      </c>
      <c r="M307" s="82">
        <v>802901457</v>
      </c>
      <c r="N307" s="111">
        <f t="shared" si="38"/>
        <v>2430507835</v>
      </c>
      <c r="O307" s="111">
        <f t="shared" si="39"/>
        <v>21798585</v>
      </c>
      <c r="P307" s="111">
        <f t="shared" si="40"/>
        <v>63329771</v>
      </c>
      <c r="Q307" s="225">
        <v>0</v>
      </c>
    </row>
    <row r="308" spans="9:17">
      <c r="I308" s="210" t="s">
        <v>5438</v>
      </c>
      <c r="J308" s="111">
        <f>L308-L307+968000</f>
        <v>30858637</v>
      </c>
      <c r="K308" s="210" t="s">
        <v>5437</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5440</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5442</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5444</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5445</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5446</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5448</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5450</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5453</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5454</v>
      </c>
      <c r="L318" s="82">
        <v>2260584534</v>
      </c>
      <c r="M318" s="82">
        <v>1120314374</v>
      </c>
      <c r="N318" s="216">
        <f t="shared" si="41"/>
        <v>3380898908</v>
      </c>
      <c r="O318" s="111">
        <f t="shared" si="42"/>
        <v>67266920</v>
      </c>
      <c r="P318" s="111">
        <f t="shared" si="43"/>
        <v>208542979</v>
      </c>
      <c r="Q318" s="225">
        <v>0</v>
      </c>
    </row>
    <row r="319" spans="9:17">
      <c r="I319" s="210" t="s">
        <v>5457</v>
      </c>
      <c r="J319" s="111">
        <f>L319-L318-3006000</f>
        <v>32865631</v>
      </c>
      <c r="K319" s="210" t="s">
        <v>5456</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5462</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5465</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5467</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5468</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5469</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5476</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5478</v>
      </c>
      <c r="L326" s="82">
        <v>2819979138</v>
      </c>
      <c r="M326" s="82">
        <v>1401539279</v>
      </c>
      <c r="N326" s="216">
        <f t="shared" si="41"/>
        <v>4221518417</v>
      </c>
      <c r="O326" s="111">
        <f t="shared" si="42"/>
        <v>13084171</v>
      </c>
      <c r="P326" s="111">
        <f t="shared" si="43"/>
        <v>39080100</v>
      </c>
      <c r="Q326" s="225">
        <v>0</v>
      </c>
    </row>
    <row r="327" spans="9:22">
      <c r="I327" s="210" t="s">
        <v>5481</v>
      </c>
      <c r="J327" s="111">
        <f>L327-L326+130382924</f>
        <v>36685298</v>
      </c>
      <c r="K327" s="210" t="s">
        <v>5480</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5479</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5483</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5484</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5488</v>
      </c>
      <c r="J332" s="186">
        <f>L332-L331-125000000</f>
        <v>154015802</v>
      </c>
      <c r="K332" s="187" t="s">
        <v>5341</v>
      </c>
      <c r="L332" s="233">
        <v>3877711355</v>
      </c>
      <c r="M332" s="233">
        <v>1868422520</v>
      </c>
      <c r="N332" s="216">
        <f t="shared" si="44"/>
        <v>5746133875</v>
      </c>
      <c r="O332" s="186">
        <f t="shared" si="45"/>
        <v>77900986</v>
      </c>
      <c r="P332" s="186">
        <f>N332-N331-125000000</f>
        <v>231916788</v>
      </c>
      <c r="Q332" s="225">
        <v>125000000</v>
      </c>
    </row>
    <row r="333" spans="9:22">
      <c r="I333" s="187" t="s">
        <v>5489</v>
      </c>
      <c r="J333" s="186">
        <f>L333-L332-7200000</f>
        <v>-108573535</v>
      </c>
      <c r="K333" s="187" t="s">
        <v>5485</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5493</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5494</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5495</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5499</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5501</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5503</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5504</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5505</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5506</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5507</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5508</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5512</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5528</v>
      </c>
      <c r="L346" s="82">
        <v>3220000000</v>
      </c>
      <c r="M346" s="82">
        <v>1580000000</v>
      </c>
      <c r="N346" s="111">
        <f t="shared" si="44"/>
        <v>4800000000</v>
      </c>
      <c r="O346" s="111">
        <f t="shared" si="45"/>
        <v>16994429</v>
      </c>
      <c r="P346" s="111">
        <f t="shared" si="46"/>
        <v>32497144</v>
      </c>
      <c r="Q346" s="225">
        <v>0</v>
      </c>
    </row>
    <row r="347" spans="9:19">
      <c r="I347" s="187" t="s">
        <v>5544</v>
      </c>
      <c r="J347" s="186">
        <f>L347-L346-50000000</f>
        <v>30000000</v>
      </c>
      <c r="K347" s="187" t="s">
        <v>5529</v>
      </c>
      <c r="L347" s="233">
        <v>3300000000</v>
      </c>
      <c r="M347" s="233">
        <v>1600000000</v>
      </c>
      <c r="N347" s="186">
        <f t="shared" si="44"/>
        <v>4900000000</v>
      </c>
      <c r="O347" s="186">
        <f t="shared" si="45"/>
        <v>20000000</v>
      </c>
      <c r="P347" s="186">
        <f>N347-N346-50000000</f>
        <v>50000000</v>
      </c>
      <c r="Q347" s="225">
        <v>50000000</v>
      </c>
    </row>
    <row r="348" spans="9:19">
      <c r="I348" s="187" t="s">
        <v>5549</v>
      </c>
      <c r="J348" s="186">
        <f t="shared" si="37"/>
        <v>79324490</v>
      </c>
      <c r="K348" s="187" t="s">
        <v>5530</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5554</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5555</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5556</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5558</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5559</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5561</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5562</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5563</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5564</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5565</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5566</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5567</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5570</v>
      </c>
      <c r="L361" s="82">
        <v>4730000000</v>
      </c>
      <c r="M361" s="82">
        <v>2276000000</v>
      </c>
      <c r="N361" s="288">
        <f t="shared" si="44"/>
        <v>7006000000</v>
      </c>
      <c r="O361" s="111">
        <f t="shared" si="45"/>
        <v>9599335.7503376007</v>
      </c>
      <c r="P361" s="111">
        <f t="shared" si="46"/>
        <v>37003184.750337601</v>
      </c>
      <c r="Q361" s="225">
        <v>0</v>
      </c>
    </row>
    <row r="362" spans="9:21">
      <c r="I362" s="213" t="s">
        <v>5572</v>
      </c>
      <c r="J362" s="240">
        <f>L362-L361+58196600</f>
        <v>79816926</v>
      </c>
      <c r="K362" s="213" t="s">
        <v>5571</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5577</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5579</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5581</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5584</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5587</v>
      </c>
      <c r="L367" s="82">
        <v>5620000000</v>
      </c>
      <c r="M367" s="82">
        <v>2670000000</v>
      </c>
      <c r="N367" s="111">
        <f t="shared" si="44"/>
        <v>8290000000</v>
      </c>
      <c r="O367" s="111">
        <f t="shared" si="47"/>
        <v>-19938073</v>
      </c>
      <c r="P367" s="111">
        <f t="shared" si="48"/>
        <v>-63769642</v>
      </c>
      <c r="S367" t="s">
        <v>25</v>
      </c>
    </row>
    <row r="368" spans="9:21">
      <c r="I368" s="187" t="s">
        <v>5590</v>
      </c>
      <c r="J368" s="186">
        <f t="shared" si="37"/>
        <v>-39749235</v>
      </c>
      <c r="K368" s="187" t="s">
        <v>5589</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5594</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5595</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5596</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5597</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5598</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5599</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5602</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5604</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5616</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5623</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5626</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5633</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5637</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5638</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5642</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5647</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5649</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5650</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5651</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5653</v>
      </c>
      <c r="L389" s="82">
        <v>6126666000</v>
      </c>
      <c r="M389" s="82">
        <v>3341157354</v>
      </c>
      <c r="N389" s="111">
        <f t="shared" si="44"/>
        <v>9467823354</v>
      </c>
      <c r="O389" s="111">
        <f t="shared" si="49"/>
        <v>26757796</v>
      </c>
      <c r="P389" s="111">
        <f t="shared" si="50"/>
        <v>-44095692</v>
      </c>
      <c r="Q389" s="225">
        <v>0</v>
      </c>
    </row>
    <row r="390" spans="9:21">
      <c r="I390" s="271" t="s">
        <v>5659</v>
      </c>
      <c r="J390" s="92">
        <f>L390-L389+98469400</f>
        <v>113425690</v>
      </c>
      <c r="K390" s="271" t="s">
        <v>5641</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5639</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5662</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5663</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5664</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5668</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5669</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5670</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5640</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5673</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5674</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5680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5682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5686</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5688</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5689</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5690</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5693</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5695</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5698</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5699</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5700</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5703</v>
      </c>
      <c r="L415" s="82">
        <v>4985500022</v>
      </c>
      <c r="M415" s="82">
        <v>3006602536</v>
      </c>
      <c r="N415" s="111">
        <f t="shared" si="44"/>
        <v>7992102558</v>
      </c>
      <c r="O415" s="111">
        <f t="shared" si="49"/>
        <v>-49164384</v>
      </c>
      <c r="P415" s="111">
        <f t="shared" si="50"/>
        <v>-221348854</v>
      </c>
      <c r="Q415" s="225">
        <v>0</v>
      </c>
    </row>
    <row r="416" spans="9:17">
      <c r="I416" s="210"/>
      <c r="J416" s="111">
        <f t="shared" ref="J416:J466" si="51">L416-L415</f>
        <v>147652909</v>
      </c>
      <c r="K416" s="210" t="s">
        <v>5704</v>
      </c>
      <c r="L416" s="82">
        <v>5133152931</v>
      </c>
      <c r="M416" s="82">
        <v>3092223617</v>
      </c>
      <c r="N416" s="111">
        <f t="shared" ref="N416:N466" si="52">L416+M416</f>
        <v>8225376548</v>
      </c>
      <c r="O416" s="111">
        <f t="shared" ref="O416:O439" si="53">M416-M415</f>
        <v>85621081</v>
      </c>
      <c r="P416" s="111">
        <f t="shared" ref="P416:P439" si="54">N416-N415</f>
        <v>233273990</v>
      </c>
      <c r="Q416" s="225">
        <v>0</v>
      </c>
    </row>
    <row r="417" spans="9:21">
      <c r="I417" s="210"/>
      <c r="J417" s="111">
        <f t="shared" si="51"/>
        <v>189045597</v>
      </c>
      <c r="K417" s="210" t="s">
        <v>5705</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5710</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5711</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4187</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5713</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5716</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5717</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5718</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5735</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5736</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5740</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5744</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5746</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5751</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5756</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5760</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5764</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5767</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5770</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5772</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5776</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5777</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5782</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5784</v>
      </c>
      <c r="L440" s="82">
        <v>6153258919</v>
      </c>
      <c r="M440" s="82">
        <v>3527498319</v>
      </c>
      <c r="N440" s="111">
        <f t="shared" si="52"/>
        <v>9680757238</v>
      </c>
      <c r="O440" s="111">
        <f t="shared" ref="O440:O466" si="55">M440-M439</f>
        <v>8252588</v>
      </c>
      <c r="P440" s="111">
        <f t="shared" ref="P440:P466" si="56">N440-N439</f>
        <v>14955818</v>
      </c>
      <c r="Q440" s="225">
        <v>0</v>
      </c>
    </row>
    <row r="441" spans="9:20">
      <c r="I441" s="210"/>
      <c r="J441" s="111">
        <f t="shared" si="51"/>
        <v>-182856601</v>
      </c>
      <c r="K441" s="210" t="s">
        <v>5786</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5794</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5796</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5798</v>
      </c>
      <c r="L444" s="82">
        <v>5272232782</v>
      </c>
      <c r="M444" s="82">
        <v>3039233271</v>
      </c>
      <c r="N444" s="111">
        <f t="shared" si="52"/>
        <v>8311466053</v>
      </c>
      <c r="O444" s="111">
        <f t="shared" si="55"/>
        <v>-110766729</v>
      </c>
      <c r="P444" s="111">
        <f t="shared" si="56"/>
        <v>-338533947</v>
      </c>
      <c r="Q444" s="225">
        <v>0</v>
      </c>
    </row>
    <row r="445" spans="9:20">
      <c r="I445" s="210"/>
      <c r="J445" s="111">
        <f t="shared" si="51"/>
        <v>-5272232782</v>
      </c>
      <c r="K445" s="210"/>
      <c r="L445" s="82"/>
      <c r="M445" s="82"/>
      <c r="N445" s="111">
        <f t="shared" si="52"/>
        <v>0</v>
      </c>
      <c r="O445" s="111">
        <f t="shared" si="55"/>
        <v>-3039233271</v>
      </c>
      <c r="P445" s="111">
        <f t="shared" si="56"/>
        <v>-8311466053</v>
      </c>
      <c r="Q445" s="225">
        <v>0</v>
      </c>
      <c r="T445" t="s">
        <v>25</v>
      </c>
    </row>
    <row r="446" spans="9:20">
      <c r="I446" s="210"/>
      <c r="J446" s="111">
        <f t="shared" si="51"/>
        <v>0</v>
      </c>
      <c r="K446" s="210"/>
      <c r="L446" s="82"/>
      <c r="M446" s="82"/>
      <c r="N446" s="111">
        <f t="shared" si="52"/>
        <v>0</v>
      </c>
      <c r="O446" s="111">
        <f t="shared" si="55"/>
        <v>0</v>
      </c>
      <c r="P446" s="111">
        <f t="shared" si="56"/>
        <v>0</v>
      </c>
      <c r="T446" t="s">
        <v>25</v>
      </c>
    </row>
    <row r="447" spans="9:20">
      <c r="I447" s="210"/>
      <c r="J447" s="111">
        <f t="shared" si="51"/>
        <v>0</v>
      </c>
      <c r="K447" s="210"/>
      <c r="L447" s="82"/>
      <c r="M447" s="82"/>
      <c r="N447" s="111">
        <f t="shared" si="52"/>
        <v>0</v>
      </c>
      <c r="O447" s="111">
        <f t="shared" si="55"/>
        <v>0</v>
      </c>
      <c r="P447" s="111">
        <f t="shared" si="56"/>
        <v>0</v>
      </c>
    </row>
    <row r="448" spans="9:20">
      <c r="I448" s="210"/>
      <c r="J448" s="111">
        <f t="shared" si="51"/>
        <v>0</v>
      </c>
      <c r="K448" s="210"/>
      <c r="L448" s="82"/>
      <c r="M448" s="82"/>
      <c r="N448" s="111">
        <f t="shared" si="52"/>
        <v>0</v>
      </c>
      <c r="O448" s="111">
        <f t="shared" si="55"/>
        <v>0</v>
      </c>
      <c r="P448" s="111">
        <f t="shared" si="56"/>
        <v>0</v>
      </c>
    </row>
    <row r="449" spans="9:21">
      <c r="I449" s="210"/>
      <c r="J449" s="111">
        <f t="shared" si="51"/>
        <v>0</v>
      </c>
      <c r="K449" s="210"/>
      <c r="L449" s="82"/>
      <c r="M449" s="82"/>
      <c r="N449" s="111">
        <f t="shared" si="52"/>
        <v>0</v>
      </c>
      <c r="O449" s="111">
        <f t="shared" si="55"/>
        <v>0</v>
      </c>
      <c r="P449" s="111">
        <f t="shared" si="56"/>
        <v>0</v>
      </c>
    </row>
    <row r="450" spans="9:21">
      <c r="I450" s="210"/>
      <c r="J450" s="111">
        <f t="shared" si="51"/>
        <v>0</v>
      </c>
      <c r="K450" s="210"/>
      <c r="L450" s="82"/>
      <c r="M450" s="82"/>
      <c r="N450" s="111">
        <f t="shared" si="52"/>
        <v>0</v>
      </c>
      <c r="O450" s="111">
        <f t="shared" si="55"/>
        <v>0</v>
      </c>
      <c r="P450" s="111">
        <f t="shared" si="56"/>
        <v>0</v>
      </c>
    </row>
    <row r="451" spans="9:21">
      <c r="I451" s="210"/>
      <c r="J451" s="111">
        <f t="shared" si="51"/>
        <v>0</v>
      </c>
      <c r="K451" s="210"/>
      <c r="L451" s="82"/>
      <c r="M451" s="82"/>
      <c r="N451" s="111">
        <f t="shared" si="52"/>
        <v>0</v>
      </c>
      <c r="O451" s="111">
        <f t="shared" si="55"/>
        <v>0</v>
      </c>
      <c r="P451" s="111">
        <f t="shared" si="56"/>
        <v>0</v>
      </c>
    </row>
    <row r="452" spans="9:21">
      <c r="I452" s="210"/>
      <c r="J452" s="111">
        <f t="shared" si="51"/>
        <v>0</v>
      </c>
      <c r="K452" s="210"/>
      <c r="L452" s="82"/>
      <c r="M452" s="82"/>
      <c r="N452" s="111">
        <f t="shared" si="52"/>
        <v>0</v>
      </c>
      <c r="O452" s="111">
        <f t="shared" si="55"/>
        <v>0</v>
      </c>
      <c r="P452" s="111">
        <f t="shared" si="56"/>
        <v>0</v>
      </c>
    </row>
    <row r="453" spans="9:21">
      <c r="I453" s="210"/>
      <c r="J453" s="111">
        <f t="shared" si="51"/>
        <v>0</v>
      </c>
      <c r="K453" s="210"/>
      <c r="L453" s="82"/>
      <c r="M453" s="82"/>
      <c r="N453" s="111">
        <f t="shared" si="52"/>
        <v>0</v>
      </c>
      <c r="O453" s="111">
        <f t="shared" si="55"/>
        <v>0</v>
      </c>
      <c r="P453" s="111">
        <f t="shared" si="56"/>
        <v>0</v>
      </c>
    </row>
    <row r="454" spans="9:21">
      <c r="I454" s="210"/>
      <c r="J454" s="111">
        <f t="shared" si="51"/>
        <v>0</v>
      </c>
      <c r="K454" s="210"/>
      <c r="L454" s="82"/>
      <c r="M454" s="82"/>
      <c r="N454" s="111">
        <f t="shared" si="52"/>
        <v>0</v>
      </c>
      <c r="O454" s="111">
        <f t="shared" si="55"/>
        <v>0</v>
      </c>
      <c r="P454" s="111">
        <f t="shared" si="56"/>
        <v>0</v>
      </c>
    </row>
    <row r="455" spans="9:21">
      <c r="I455" s="210"/>
      <c r="J455" s="111">
        <f t="shared" si="51"/>
        <v>0</v>
      </c>
      <c r="K455" s="210"/>
      <c r="L455" s="82"/>
      <c r="M455" s="82"/>
      <c r="N455" s="111">
        <f t="shared" si="52"/>
        <v>0</v>
      </c>
      <c r="O455" s="111">
        <f>M455-M454</f>
        <v>0</v>
      </c>
      <c r="P455" s="111">
        <f t="shared" si="56"/>
        <v>0</v>
      </c>
    </row>
    <row r="456" spans="9:21">
      <c r="I456" s="210"/>
      <c r="J456" s="111">
        <f t="shared" si="51"/>
        <v>0</v>
      </c>
      <c r="K456" s="210"/>
      <c r="L456" s="82"/>
      <c r="M456" s="82" t="s">
        <v>25</v>
      </c>
      <c r="N456" s="111" t="e">
        <f>L456+M456</f>
        <v>#VALUE!</v>
      </c>
      <c r="O456" s="111" t="e">
        <f t="shared" si="55"/>
        <v>#VALUE!</v>
      </c>
      <c r="P456" s="111" t="e">
        <f t="shared" si="56"/>
        <v>#VALUE!</v>
      </c>
    </row>
    <row r="457" spans="9:21">
      <c r="I457" s="210"/>
      <c r="J457" s="111">
        <f t="shared" si="51"/>
        <v>0</v>
      </c>
      <c r="K457" s="210"/>
      <c r="L457" s="82"/>
      <c r="M457" s="82"/>
      <c r="N457" s="111">
        <f t="shared" si="52"/>
        <v>0</v>
      </c>
      <c r="O457" s="111" t="e">
        <f>M457-M456</f>
        <v>#VALUE!</v>
      </c>
      <c r="P457" s="111" t="e">
        <f t="shared" si="56"/>
        <v>#VALUE!</v>
      </c>
      <c r="U457" t="s">
        <v>25</v>
      </c>
    </row>
    <row r="458" spans="9:21">
      <c r="I458" s="210"/>
      <c r="J458" s="111">
        <f t="shared" si="51"/>
        <v>0</v>
      </c>
      <c r="K458" s="210"/>
      <c r="L458" s="82"/>
      <c r="M458" s="82"/>
      <c r="N458" s="111">
        <f t="shared" si="52"/>
        <v>0</v>
      </c>
      <c r="O458" s="111">
        <f t="shared" si="55"/>
        <v>0</v>
      </c>
      <c r="P458" s="111">
        <f t="shared" si="56"/>
        <v>0</v>
      </c>
    </row>
    <row r="459" spans="9:21">
      <c r="I459" s="210"/>
      <c r="J459" s="111">
        <f t="shared" si="51"/>
        <v>0</v>
      </c>
      <c r="K459" s="210"/>
      <c r="L459" s="82"/>
      <c r="M459" s="82"/>
      <c r="N459" s="111">
        <f t="shared" si="52"/>
        <v>0</v>
      </c>
      <c r="O459" s="111">
        <f t="shared" si="55"/>
        <v>0</v>
      </c>
      <c r="P459" s="111">
        <f t="shared" si="56"/>
        <v>0</v>
      </c>
    </row>
    <row r="460" spans="9:21">
      <c r="I460" s="210"/>
      <c r="J460" s="111">
        <f t="shared" si="51"/>
        <v>0</v>
      </c>
      <c r="K460" s="210"/>
      <c r="L460" s="82"/>
      <c r="M460" s="82"/>
      <c r="N460" s="111">
        <f t="shared" si="52"/>
        <v>0</v>
      </c>
      <c r="O460" s="111">
        <f t="shared" si="55"/>
        <v>0</v>
      </c>
      <c r="P460" s="111">
        <f t="shared" si="56"/>
        <v>0</v>
      </c>
    </row>
    <row r="461" spans="9:21">
      <c r="I461" s="210"/>
      <c r="J461" s="111">
        <f t="shared" si="51"/>
        <v>0</v>
      </c>
      <c r="K461" s="210"/>
      <c r="L461" s="82"/>
      <c r="M461" s="82"/>
      <c r="N461" s="111">
        <f t="shared" si="52"/>
        <v>0</v>
      </c>
      <c r="O461" s="111">
        <f t="shared" si="55"/>
        <v>0</v>
      </c>
      <c r="P461" s="111">
        <f t="shared" si="56"/>
        <v>0</v>
      </c>
    </row>
    <row r="462" spans="9:21">
      <c r="I462" s="210"/>
      <c r="J462" s="111">
        <f t="shared" si="51"/>
        <v>0</v>
      </c>
      <c r="K462" s="210"/>
      <c r="L462" s="82"/>
      <c r="M462" s="82"/>
      <c r="N462" s="111">
        <f t="shared" si="52"/>
        <v>0</v>
      </c>
      <c r="O462" s="111">
        <f t="shared" si="55"/>
        <v>0</v>
      </c>
      <c r="P462" s="111">
        <f t="shared" si="56"/>
        <v>0</v>
      </c>
    </row>
    <row r="463" spans="9:21">
      <c r="I463" s="210"/>
      <c r="J463" s="111">
        <f t="shared" si="51"/>
        <v>0</v>
      </c>
      <c r="K463" s="210"/>
      <c r="L463" s="82"/>
      <c r="M463" s="82"/>
      <c r="N463" s="111">
        <f t="shared" si="52"/>
        <v>0</v>
      </c>
      <c r="O463" s="111">
        <f t="shared" si="55"/>
        <v>0</v>
      </c>
      <c r="P463" s="111">
        <f t="shared" si="56"/>
        <v>0</v>
      </c>
    </row>
    <row r="464" spans="9:21">
      <c r="I464" s="210"/>
      <c r="J464" s="111">
        <f t="shared" si="51"/>
        <v>0</v>
      </c>
      <c r="K464" s="210"/>
      <c r="L464" s="82"/>
      <c r="M464" s="82"/>
      <c r="N464" s="111">
        <f t="shared" si="52"/>
        <v>0</v>
      </c>
      <c r="O464" s="111">
        <f t="shared" si="55"/>
        <v>0</v>
      </c>
      <c r="P464" s="111">
        <f t="shared" si="56"/>
        <v>0</v>
      </c>
    </row>
    <row r="465" spans="9:16">
      <c r="I465" s="210"/>
      <c r="J465" s="111">
        <f t="shared" si="51"/>
        <v>0</v>
      </c>
      <c r="K465" s="210"/>
      <c r="L465" s="82"/>
      <c r="M465" s="82"/>
      <c r="N465" s="111">
        <f t="shared" si="52"/>
        <v>0</v>
      </c>
      <c r="O465" s="111">
        <f t="shared" si="55"/>
        <v>0</v>
      </c>
      <c r="P465" s="111">
        <f t="shared" si="56"/>
        <v>0</v>
      </c>
    </row>
    <row r="466" spans="9:16">
      <c r="I466" s="210"/>
      <c r="J466" s="111">
        <f t="shared" si="51"/>
        <v>0</v>
      </c>
      <c r="K466" s="210"/>
      <c r="L466" s="82"/>
      <c r="M466" s="82"/>
      <c r="N466" s="111">
        <f t="shared" si="52"/>
        <v>0</v>
      </c>
      <c r="O466" s="111">
        <f t="shared" si="55"/>
        <v>0</v>
      </c>
      <c r="P466" s="111">
        <f t="shared" si="56"/>
        <v>0</v>
      </c>
    </row>
    <row r="469" spans="9:16">
      <c r="L469" t="s">
        <v>25</v>
      </c>
      <c r="N469" t="s">
        <v>25</v>
      </c>
      <c r="O469" t="s">
        <v>25</v>
      </c>
    </row>
    <row r="470" spans="9:16">
      <c r="L470" t="s">
        <v>25</v>
      </c>
      <c r="N470" t="s">
        <v>25</v>
      </c>
      <c r="O470" t="s">
        <v>25</v>
      </c>
      <c r="P470" t="s">
        <v>25</v>
      </c>
    </row>
    <row r="471" spans="9:16">
      <c r="P471" t="s">
        <v>25</v>
      </c>
    </row>
    <row r="472" spans="9:16">
      <c r="M472" t="s">
        <v>25</v>
      </c>
      <c r="N472" t="s">
        <v>25</v>
      </c>
      <c r="O472" t="s">
        <v>25</v>
      </c>
    </row>
    <row r="473" spans="9:16">
      <c r="N473" t="s">
        <v>25</v>
      </c>
      <c r="O473" t="s">
        <v>25</v>
      </c>
    </row>
    <row r="475" spans="9:16">
      <c r="M475" t="s">
        <v>25</v>
      </c>
      <c r="N47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5350</v>
      </c>
      <c r="B1">
        <v>0.24</v>
      </c>
    </row>
    <row r="4" spans="1:21">
      <c r="A4" s="97" t="s">
        <v>3625</v>
      </c>
      <c r="B4" s="97" t="s">
        <v>180</v>
      </c>
      <c r="C4" s="97" t="s">
        <v>5354</v>
      </c>
      <c r="D4" s="97" t="s">
        <v>5355</v>
      </c>
      <c r="E4" s="97" t="s">
        <v>5362</v>
      </c>
      <c r="F4" s="97" t="s">
        <v>5356</v>
      </c>
      <c r="G4" s="97" t="s">
        <v>5357</v>
      </c>
      <c r="H4" s="97" t="s">
        <v>5358</v>
      </c>
      <c r="I4" s="97" t="s">
        <v>5359</v>
      </c>
      <c r="J4" s="97" t="s">
        <v>5360</v>
      </c>
      <c r="K4" s="97" t="s">
        <v>5361</v>
      </c>
      <c r="L4" s="97" t="s">
        <v>5349</v>
      </c>
      <c r="M4" s="97" t="s">
        <v>5351</v>
      </c>
      <c r="N4" s="97" t="s">
        <v>5352</v>
      </c>
      <c r="O4" s="97"/>
    </row>
    <row r="5" spans="1:21">
      <c r="A5" s="97">
        <v>0</v>
      </c>
      <c r="B5" s="97" t="s">
        <v>5348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5363</v>
      </c>
      <c r="C52" s="279" t="s">
        <v>5364</v>
      </c>
      <c r="D52" s="279" t="s">
        <v>5365</v>
      </c>
      <c r="E52" s="279" t="s">
        <v>4250</v>
      </c>
      <c r="F52" s="279" t="s">
        <v>5366</v>
      </c>
      <c r="G52" s="279" t="s">
        <v>5367</v>
      </c>
      <c r="H52" s="279" t="s">
        <v>5368</v>
      </c>
      <c r="I52" s="279" t="s">
        <v>5369</v>
      </c>
      <c r="J52" s="279" t="s">
        <v>5370</v>
      </c>
      <c r="K52" s="279" t="s">
        <v>5371</v>
      </c>
      <c r="L52" s="279" t="s">
        <v>5372</v>
      </c>
      <c r="M52" s="279" t="s">
        <v>5373</v>
      </c>
      <c r="N52" s="279" t="s">
        <v>5374</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5334</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5328</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5345</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5363</v>
      </c>
      <c r="C64" s="279" t="s">
        <v>5364</v>
      </c>
      <c r="D64" s="279" t="s">
        <v>5365</v>
      </c>
      <c r="E64" s="279" t="s">
        <v>4250</v>
      </c>
      <c r="F64" s="279" t="s">
        <v>5366</v>
      </c>
      <c r="G64" s="279" t="s">
        <v>5367</v>
      </c>
      <c r="H64" s="279" t="s">
        <v>5368</v>
      </c>
      <c r="I64" s="279" t="s">
        <v>5369</v>
      </c>
      <c r="J64" s="279" t="s">
        <v>5370</v>
      </c>
      <c r="K64" s="279" t="s">
        <v>5371</v>
      </c>
      <c r="L64" s="279" t="s">
        <v>5372</v>
      </c>
      <c r="M64" s="279" t="s">
        <v>5373</v>
      </c>
      <c r="N64" s="279" t="s">
        <v>5374</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5334</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5345</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5631</v>
      </c>
    </row>
    <row r="29" spans="2:21">
      <c r="G29" s="11">
        <f t="shared" ref="G29:G41" si="5">$I$48-I29</f>
        <v>2500</v>
      </c>
      <c r="H29" s="11" t="s">
        <v>5342</v>
      </c>
      <c r="I29" s="11">
        <v>270000</v>
      </c>
      <c r="J29" s="11" t="s">
        <v>561</v>
      </c>
    </row>
    <row r="30" spans="2:21">
      <c r="G30" s="11">
        <f t="shared" si="5"/>
        <v>2500</v>
      </c>
      <c r="H30" s="11" t="s">
        <v>5342</v>
      </c>
      <c r="I30" s="11">
        <v>270000</v>
      </c>
      <c r="J30" s="11" t="s">
        <v>562</v>
      </c>
    </row>
    <row r="31" spans="2:21">
      <c r="G31" s="11">
        <f t="shared" si="5"/>
        <v>5500</v>
      </c>
      <c r="H31" s="11" t="s">
        <v>5530</v>
      </c>
      <c r="I31" s="11">
        <v>267000</v>
      </c>
      <c r="J31" s="11" t="s">
        <v>476</v>
      </c>
    </row>
    <row r="32" spans="2:21">
      <c r="G32" s="11">
        <f>$I$48-I32</f>
        <v>87500</v>
      </c>
      <c r="H32" s="57" t="s">
        <v>780</v>
      </c>
      <c r="I32" s="11">
        <v>185000</v>
      </c>
      <c r="J32" s="11" t="s">
        <v>556</v>
      </c>
    </row>
    <row r="33" spans="6:23">
      <c r="G33" s="11">
        <f t="shared" si="5"/>
        <v>5500</v>
      </c>
      <c r="H33" s="11" t="s">
        <v>5530</v>
      </c>
      <c r="I33" s="11">
        <v>267000</v>
      </c>
      <c r="J33" s="11" t="s">
        <v>563</v>
      </c>
    </row>
    <row r="34" spans="6:23">
      <c r="G34" s="11">
        <f t="shared" si="5"/>
        <v>5500</v>
      </c>
      <c r="H34" s="11" t="s">
        <v>5530</v>
      </c>
      <c r="I34" s="11">
        <v>267000</v>
      </c>
      <c r="J34" s="11" t="s">
        <v>564</v>
      </c>
    </row>
    <row r="35" spans="6:23">
      <c r="G35" s="11">
        <f t="shared" si="5"/>
        <v>5500</v>
      </c>
      <c r="H35" s="11" t="s">
        <v>5530</v>
      </c>
      <c r="I35" s="11">
        <v>267000</v>
      </c>
      <c r="J35" s="11" t="s">
        <v>565</v>
      </c>
    </row>
    <row r="36" spans="6:23">
      <c r="F36" t="s">
        <v>25</v>
      </c>
      <c r="G36" s="11">
        <f t="shared" si="5"/>
        <v>8500</v>
      </c>
      <c r="H36" s="11" t="s">
        <v>5388</v>
      </c>
      <c r="I36" s="11">
        <v>264000</v>
      </c>
      <c r="J36" s="11" t="s">
        <v>636</v>
      </c>
      <c r="O36" s="22"/>
    </row>
    <row r="37" spans="6:23">
      <c r="G37" s="11">
        <f t="shared" si="5"/>
        <v>14500</v>
      </c>
      <c r="H37" s="11" t="s">
        <v>5184</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4736</v>
      </c>
      <c r="I46" s="11">
        <v>248200</v>
      </c>
      <c r="J46" s="11" t="s">
        <v>4745</v>
      </c>
      <c r="M46" s="25"/>
      <c r="N46" s="25"/>
      <c r="O46" s="25"/>
      <c r="P46" s="25"/>
      <c r="Q46" s="25"/>
      <c r="R46" s="25"/>
      <c r="S46" s="25"/>
      <c r="T46" s="25"/>
      <c r="U46" s="25"/>
      <c r="V46" s="25"/>
      <c r="W46" s="25"/>
    </row>
    <row r="47" spans="6:23">
      <c r="G47" s="97">
        <f t="shared" si="6"/>
        <v>15500</v>
      </c>
      <c r="H47" s="97" t="s">
        <v>5142</v>
      </c>
      <c r="I47" s="97">
        <v>257000</v>
      </c>
      <c r="J47" s="97" t="s">
        <v>5174</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5632</v>
      </c>
      <c r="M52" s="25"/>
      <c r="N52" s="25"/>
      <c r="O52" s="68"/>
      <c r="P52" s="25"/>
      <c r="Q52" s="69"/>
      <c r="R52" s="25"/>
      <c r="S52" s="69"/>
      <c r="T52" s="25"/>
      <c r="U52" s="28"/>
      <c r="V52" s="25"/>
      <c r="W52" s="25"/>
    </row>
    <row r="53" spans="7:23">
      <c r="G53" s="97">
        <f>$I$72-I53</f>
        <v>1500</v>
      </c>
      <c r="H53" s="97" t="s">
        <v>5342</v>
      </c>
      <c r="I53" s="97">
        <v>38000</v>
      </c>
      <c r="J53" s="97" t="s">
        <v>561</v>
      </c>
      <c r="M53" s="25"/>
      <c r="N53" s="25"/>
      <c r="O53" s="68"/>
      <c r="P53" s="25"/>
      <c r="Q53" s="69"/>
      <c r="R53" s="25"/>
      <c r="S53" s="69"/>
      <c r="T53" s="25"/>
      <c r="U53" s="25"/>
      <c r="V53" s="25"/>
      <c r="W53" s="25"/>
    </row>
    <row r="54" spans="7:23">
      <c r="G54" s="97">
        <f t="shared" ref="G54:G71" si="7">$I$72-I54</f>
        <v>1500</v>
      </c>
      <c r="H54" s="97" t="s">
        <v>5342</v>
      </c>
      <c r="I54" s="97">
        <v>38000</v>
      </c>
      <c r="J54" s="97" t="s">
        <v>562</v>
      </c>
      <c r="M54" s="25"/>
      <c r="N54" s="25"/>
      <c r="O54" s="25"/>
      <c r="P54" s="25"/>
      <c r="Q54" s="69"/>
      <c r="R54" s="25"/>
      <c r="S54" s="69"/>
      <c r="T54" s="25"/>
      <c r="U54" s="25"/>
      <c r="V54" s="25"/>
      <c r="W54" s="25"/>
    </row>
    <row r="55" spans="7:23">
      <c r="G55" s="97">
        <f t="shared" si="7"/>
        <v>1500</v>
      </c>
      <c r="H55" s="97" t="s">
        <v>5530</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5530</v>
      </c>
      <c r="I57" s="97">
        <v>38000</v>
      </c>
      <c r="J57" s="97" t="s">
        <v>563</v>
      </c>
      <c r="M57" s="25"/>
      <c r="N57" s="25"/>
      <c r="O57" s="25"/>
      <c r="P57" s="25"/>
      <c r="Q57" s="69"/>
      <c r="R57" s="25"/>
      <c r="S57" s="69"/>
      <c r="T57" s="25"/>
      <c r="U57" s="25"/>
      <c r="V57" s="25"/>
      <c r="W57" s="25"/>
    </row>
    <row r="58" spans="7:23">
      <c r="G58" s="97">
        <f t="shared" si="7"/>
        <v>1500</v>
      </c>
      <c r="H58" s="97" t="s">
        <v>5530</v>
      </c>
      <c r="I58" s="97">
        <v>38000</v>
      </c>
      <c r="J58" s="97" t="s">
        <v>564</v>
      </c>
      <c r="M58" s="25"/>
      <c r="N58" s="25"/>
      <c r="O58" s="25"/>
      <c r="P58" s="25"/>
      <c r="Q58" s="69"/>
      <c r="R58" s="25"/>
      <c r="S58" s="69"/>
      <c r="T58" s="25"/>
      <c r="U58" s="25"/>
      <c r="V58" s="25"/>
      <c r="W58" s="25"/>
    </row>
    <row r="59" spans="7:23">
      <c r="G59" s="97">
        <f t="shared" si="7"/>
        <v>1500</v>
      </c>
      <c r="H59" s="97" t="s">
        <v>5530</v>
      </c>
      <c r="I59" s="97">
        <v>38000</v>
      </c>
      <c r="J59" s="97" t="s">
        <v>565</v>
      </c>
      <c r="M59" s="25"/>
      <c r="N59" s="25"/>
      <c r="O59" s="25"/>
      <c r="P59" s="25"/>
      <c r="Q59" s="69"/>
      <c r="R59" s="25"/>
      <c r="S59" s="69"/>
      <c r="T59" s="25"/>
      <c r="U59" s="25"/>
      <c r="V59" s="25"/>
      <c r="W59" s="25"/>
    </row>
    <row r="60" spans="7:23">
      <c r="G60" s="97">
        <f t="shared" si="7"/>
        <v>39500</v>
      </c>
      <c r="H60" s="97" t="s">
        <v>5388</v>
      </c>
      <c r="I60" s="97">
        <v>0</v>
      </c>
      <c r="J60" s="97" t="s">
        <v>636</v>
      </c>
      <c r="M60" s="25"/>
      <c r="N60" s="25"/>
      <c r="O60" s="25"/>
      <c r="P60" s="25"/>
      <c r="Q60" s="69"/>
      <c r="R60" s="25"/>
      <c r="S60" s="69"/>
      <c r="T60" s="25"/>
      <c r="U60" s="25"/>
      <c r="V60" s="25"/>
      <c r="W60" s="25"/>
    </row>
    <row r="61" spans="7:23">
      <c r="G61" s="97">
        <f t="shared" si="7"/>
        <v>39500</v>
      </c>
      <c r="H61" s="97" t="s">
        <v>5184</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4736</v>
      </c>
      <c r="I70" s="97">
        <v>0</v>
      </c>
      <c r="J70" s="97" t="s">
        <v>4745</v>
      </c>
    </row>
    <row r="71" spans="7:17">
      <c r="G71" s="97">
        <f t="shared" si="7"/>
        <v>39500</v>
      </c>
      <c r="H71" s="97" t="s">
        <v>5142</v>
      </c>
      <c r="I71" s="97">
        <v>0</v>
      </c>
      <c r="J71" s="97" t="s">
        <v>5174</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H70" zoomScaleNormal="100" workbookViewId="0">
      <selection activeCell="Q92" sqref="Q92"/>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5617</v>
      </c>
      <c r="F1" s="210" t="s">
        <v>5618</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4854</v>
      </c>
      <c r="B4" s="189">
        <v>560000000</v>
      </c>
      <c r="C4" s="187">
        <v>75</v>
      </c>
      <c r="D4" s="187">
        <f>B4*C4/$M$2</f>
        <v>0.58333333333333337</v>
      </c>
      <c r="E4" s="189">
        <v>100</v>
      </c>
      <c r="F4" s="189">
        <f>B4*E4/$M$2</f>
        <v>0.77777777777777779</v>
      </c>
      <c r="G4" s="189"/>
      <c r="H4" s="189"/>
      <c r="I4" s="189">
        <v>1075</v>
      </c>
      <c r="J4" s="189">
        <f>B4*I4/$M$2</f>
        <v>8.3611111111111107</v>
      </c>
    </row>
    <row r="5" spans="1:20">
      <c r="A5" s="189" t="s">
        <v>4855</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4855</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4862</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4863</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4931</v>
      </c>
    </row>
    <row r="13" spans="1:20">
      <c r="A13" s="189" t="s">
        <v>5586</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600</v>
      </c>
      <c r="K16" t="s">
        <v>5474</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5709</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5475</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1526</v>
      </c>
      <c r="I23" s="210">
        <f>H23/J21</f>
        <v>0.50607931638580284</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5461</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5179</v>
      </c>
      <c r="P49" s="18">
        <v>-50000</v>
      </c>
      <c r="Q49" s="97">
        <v>3</v>
      </c>
      <c r="R49" s="97"/>
      <c r="S49" s="94"/>
      <c r="T49" s="94"/>
    </row>
    <row r="50" spans="1:21">
      <c r="A50" s="94"/>
      <c r="B50" s="94"/>
      <c r="E50" s="94"/>
      <c r="F50" s="94"/>
      <c r="O50" s="97" t="s">
        <v>5184</v>
      </c>
      <c r="P50" s="18">
        <v>-1683146</v>
      </c>
      <c r="Q50" s="97">
        <v>10</v>
      </c>
      <c r="R50" s="97"/>
      <c r="S50" s="94"/>
      <c r="T50" s="94"/>
    </row>
    <row r="51" spans="1:21">
      <c r="A51" s="94"/>
      <c r="B51" s="94"/>
      <c r="E51" s="94"/>
      <c r="F51" s="94"/>
      <c r="O51" s="97" t="s">
        <v>5196</v>
      </c>
      <c r="P51" s="18">
        <v>700000</v>
      </c>
      <c r="Q51" s="97">
        <v>18</v>
      </c>
      <c r="R51" s="97"/>
      <c r="S51" s="94"/>
      <c r="T51" s="94"/>
    </row>
    <row r="52" spans="1:21">
      <c r="A52" s="94"/>
      <c r="B52" s="94"/>
      <c r="E52" s="94"/>
      <c r="F52" s="94"/>
      <c r="O52" s="97" t="s">
        <v>5210</v>
      </c>
      <c r="P52" s="18">
        <v>-700000</v>
      </c>
      <c r="Q52" s="97">
        <v>46</v>
      </c>
      <c r="R52" s="97"/>
    </row>
    <row r="53" spans="1:21">
      <c r="A53" s="94"/>
      <c r="B53" s="94"/>
      <c r="E53" s="94"/>
      <c r="F53" s="94"/>
      <c r="K53" t="s">
        <v>25</v>
      </c>
      <c r="O53" s="97" t="s">
        <v>5260</v>
      </c>
      <c r="P53" s="18">
        <v>1000000</v>
      </c>
      <c r="Q53" s="97">
        <v>4</v>
      </c>
      <c r="R53" s="97"/>
    </row>
    <row r="54" spans="1:21">
      <c r="A54" s="94"/>
      <c r="B54" s="94"/>
      <c r="E54" s="94"/>
      <c r="F54" s="94"/>
      <c r="O54" s="97" t="s">
        <v>5264</v>
      </c>
      <c r="P54" s="18">
        <v>1500000</v>
      </c>
      <c r="Q54" s="97">
        <v>1</v>
      </c>
      <c r="R54" s="97"/>
    </row>
    <row r="55" spans="1:21">
      <c r="A55" s="94"/>
      <c r="B55" s="94"/>
      <c r="E55" s="94"/>
      <c r="F55" s="94"/>
      <c r="O55" s="97" t="s">
        <v>5265</v>
      </c>
      <c r="P55" s="18">
        <v>-1500000</v>
      </c>
      <c r="Q55" s="97">
        <v>15</v>
      </c>
      <c r="R55" s="97"/>
    </row>
    <row r="56" spans="1:21">
      <c r="A56" s="94"/>
      <c r="B56" s="94"/>
      <c r="E56" s="94"/>
      <c r="F56" s="94"/>
      <c r="O56" s="97" t="s">
        <v>5294</v>
      </c>
      <c r="P56" s="18">
        <v>-100000</v>
      </c>
      <c r="Q56" s="97">
        <v>5</v>
      </c>
      <c r="R56" s="97"/>
    </row>
    <row r="57" spans="1:21">
      <c r="A57" s="94"/>
      <c r="B57" s="94"/>
      <c r="E57" s="94"/>
      <c r="F57" s="94"/>
      <c r="O57" s="97" t="s">
        <v>5300</v>
      </c>
      <c r="P57" s="18">
        <v>1164690</v>
      </c>
      <c r="Q57" s="97">
        <v>4</v>
      </c>
      <c r="R57" s="97"/>
      <c r="S57" t="s">
        <v>25</v>
      </c>
    </row>
    <row r="58" spans="1:21">
      <c r="A58" s="94"/>
      <c r="B58" s="94"/>
      <c r="E58" s="94"/>
      <c r="F58" s="94"/>
      <c r="O58" s="97" t="s">
        <v>5310</v>
      </c>
      <c r="P58" s="18">
        <v>1000000</v>
      </c>
      <c r="Q58" s="97">
        <v>4</v>
      </c>
      <c r="R58" s="97"/>
    </row>
    <row r="59" spans="1:21">
      <c r="A59" s="94"/>
      <c r="B59" s="94"/>
      <c r="E59" s="94"/>
      <c r="F59" s="94"/>
      <c r="O59" s="97" t="s">
        <v>5315</v>
      </c>
      <c r="P59" s="18">
        <v>-264690</v>
      </c>
      <c r="Q59" s="97">
        <v>7</v>
      </c>
      <c r="R59" s="97"/>
    </row>
    <row r="60" spans="1:21">
      <c r="A60" s="94"/>
      <c r="B60" s="94"/>
      <c r="E60" s="94"/>
      <c r="F60" s="94"/>
      <c r="N60" t="s">
        <v>25</v>
      </c>
      <c r="O60" s="97" t="s">
        <v>5333</v>
      </c>
      <c r="P60" s="18">
        <v>2700000</v>
      </c>
      <c r="Q60" s="97">
        <v>0</v>
      </c>
      <c r="R60" s="97"/>
    </row>
    <row r="61" spans="1:21">
      <c r="A61" s="94"/>
      <c r="B61" s="94"/>
      <c r="E61" s="94"/>
      <c r="F61" s="94"/>
      <c r="O61" s="97" t="s">
        <v>5333</v>
      </c>
      <c r="P61" s="18">
        <v>-1000000</v>
      </c>
      <c r="Q61" s="97">
        <v>1</v>
      </c>
      <c r="R61" s="97" t="s">
        <v>5336</v>
      </c>
    </row>
    <row r="62" spans="1:21">
      <c r="A62" s="94"/>
      <c r="B62" s="94"/>
      <c r="E62" s="94"/>
      <c r="F62" s="94"/>
      <c r="O62" s="97" t="s">
        <v>5338</v>
      </c>
      <c r="P62" s="18">
        <v>-75616</v>
      </c>
      <c r="Q62" s="97">
        <v>2</v>
      </c>
      <c r="R62" s="97" t="s">
        <v>5339</v>
      </c>
    </row>
    <row r="63" spans="1:21">
      <c r="A63" s="94"/>
      <c r="B63" s="94"/>
      <c r="E63" s="94"/>
      <c r="F63" s="94"/>
      <c r="O63" s="97" t="s">
        <v>963</v>
      </c>
      <c r="P63" s="18">
        <v>-2424384</v>
      </c>
      <c r="Q63" s="97">
        <v>2</v>
      </c>
      <c r="R63" s="97"/>
      <c r="U63" t="s">
        <v>25</v>
      </c>
    </row>
    <row r="64" spans="1:21">
      <c r="A64" s="94"/>
      <c r="B64" s="94"/>
      <c r="E64" s="94"/>
      <c r="F64" s="94"/>
      <c r="O64" s="97" t="s">
        <v>5353</v>
      </c>
      <c r="P64" s="18">
        <v>-2000000</v>
      </c>
      <c r="Q64" s="97">
        <v>6</v>
      </c>
      <c r="R64" s="97"/>
    </row>
    <row r="65" spans="1:21">
      <c r="A65" s="94"/>
      <c r="B65" s="94"/>
      <c r="E65" s="94"/>
      <c r="F65" s="94"/>
      <c r="O65" s="97" t="s">
        <v>5390</v>
      </c>
      <c r="P65" s="18">
        <v>2500000</v>
      </c>
      <c r="Q65" s="97">
        <v>1</v>
      </c>
      <c r="R65" s="97"/>
    </row>
    <row r="66" spans="1:21">
      <c r="A66" s="94"/>
      <c r="B66" s="94"/>
      <c r="E66" s="94"/>
      <c r="F66" s="94"/>
      <c r="O66" s="97" t="s">
        <v>5393</v>
      </c>
      <c r="P66" s="18">
        <v>3000000</v>
      </c>
      <c r="Q66" s="97">
        <v>3</v>
      </c>
      <c r="R66" s="97"/>
    </row>
    <row r="67" spans="1:21">
      <c r="A67" s="94"/>
      <c r="B67" s="94"/>
      <c r="E67" s="94"/>
      <c r="F67" s="94"/>
      <c r="O67" s="97" t="s">
        <v>5400</v>
      </c>
      <c r="P67" s="18">
        <v>-300000</v>
      </c>
      <c r="Q67" s="97">
        <v>5</v>
      </c>
      <c r="R67" s="97"/>
    </row>
    <row r="68" spans="1:21">
      <c r="A68" s="94"/>
      <c r="B68" s="94"/>
      <c r="E68" s="94"/>
      <c r="F68" s="94"/>
      <c r="O68" s="97" t="s">
        <v>5412</v>
      </c>
      <c r="P68" s="18">
        <v>500000</v>
      </c>
      <c r="Q68" s="97">
        <v>1</v>
      </c>
      <c r="R68" s="97"/>
    </row>
    <row r="69" spans="1:21">
      <c r="A69" s="94"/>
      <c r="B69" s="94"/>
      <c r="E69" s="94"/>
      <c r="F69" s="94"/>
      <c r="O69" s="97" t="s">
        <v>5414</v>
      </c>
      <c r="P69" s="18">
        <v>1000000</v>
      </c>
      <c r="Q69" s="97">
        <v>5</v>
      </c>
      <c r="R69" s="97"/>
    </row>
    <row r="70" spans="1:21">
      <c r="A70" s="94"/>
      <c r="B70" s="94"/>
      <c r="E70" s="94"/>
      <c r="F70" s="94"/>
      <c r="O70" s="97" t="s">
        <v>5419</v>
      </c>
      <c r="P70" s="18">
        <v>-2700000</v>
      </c>
      <c r="Q70" s="97">
        <v>1</v>
      </c>
      <c r="R70" s="97"/>
    </row>
    <row r="71" spans="1:21">
      <c r="A71" s="94"/>
      <c r="B71" s="94"/>
      <c r="E71" s="94"/>
      <c r="F71" s="94"/>
      <c r="M71" t="s">
        <v>25</v>
      </c>
      <c r="O71" s="97" t="s">
        <v>5420</v>
      </c>
      <c r="P71" s="18">
        <v>-3600000</v>
      </c>
      <c r="Q71" s="97">
        <v>1</v>
      </c>
      <c r="R71" s="97"/>
    </row>
    <row r="72" spans="1:21">
      <c r="A72" s="94"/>
      <c r="B72" s="94"/>
      <c r="E72" s="94"/>
      <c r="F72" s="94"/>
      <c r="O72" s="97" t="s">
        <v>987</v>
      </c>
      <c r="P72" s="18">
        <v>-400000</v>
      </c>
      <c r="Q72" s="97">
        <v>17</v>
      </c>
      <c r="R72" s="97"/>
    </row>
    <row r="73" spans="1:21">
      <c r="A73" s="94"/>
      <c r="B73" s="94"/>
      <c r="E73" s="94"/>
      <c r="F73" s="94"/>
      <c r="O73" s="97" t="s">
        <v>5443</v>
      </c>
      <c r="P73" s="18">
        <v>1000000</v>
      </c>
      <c r="Q73" s="97">
        <v>20</v>
      </c>
      <c r="R73" s="97"/>
    </row>
    <row r="74" spans="1:21">
      <c r="A74" s="94"/>
      <c r="B74" s="94"/>
      <c r="E74" s="94"/>
      <c r="F74" s="94"/>
      <c r="O74" s="97" t="s">
        <v>5471</v>
      </c>
      <c r="P74" s="18">
        <v>-1000000</v>
      </c>
      <c r="Q74" s="97">
        <v>25</v>
      </c>
      <c r="R74" s="97"/>
    </row>
    <row r="75" spans="1:21">
      <c r="A75" s="94"/>
      <c r="B75" s="94"/>
      <c r="E75" s="94"/>
      <c r="F75" s="94"/>
      <c r="O75" s="97" t="s">
        <v>5506</v>
      </c>
      <c r="P75" s="18">
        <v>300000</v>
      </c>
      <c r="Q75" s="97">
        <v>3</v>
      </c>
      <c r="R75" s="97"/>
    </row>
    <row r="76" spans="1:21">
      <c r="A76" s="94"/>
      <c r="B76" s="94"/>
      <c r="E76" s="94"/>
      <c r="F76" s="94"/>
      <c r="O76" s="97" t="s">
        <v>5511</v>
      </c>
      <c r="P76" s="18">
        <v>-300000</v>
      </c>
      <c r="Q76" s="97">
        <v>9</v>
      </c>
      <c r="R76" s="97"/>
    </row>
    <row r="77" spans="1:21">
      <c r="A77" s="94"/>
      <c r="B77" s="94"/>
      <c r="E77" s="94"/>
      <c r="F77" s="94"/>
      <c r="O77" s="97" t="s">
        <v>5530</v>
      </c>
      <c r="P77" s="18">
        <v>1000000</v>
      </c>
      <c r="Q77" s="97">
        <v>24</v>
      </c>
      <c r="R77" s="97"/>
      <c r="U77" t="s">
        <v>25</v>
      </c>
    </row>
    <row r="78" spans="1:21">
      <c r="A78" s="94"/>
      <c r="B78" s="94"/>
      <c r="E78" s="94"/>
      <c r="F78" s="94"/>
      <c r="M78" t="s">
        <v>25</v>
      </c>
      <c r="O78" s="97" t="s">
        <v>5579</v>
      </c>
      <c r="P78" s="18">
        <v>-1380100</v>
      </c>
      <c r="Q78" s="97">
        <v>11</v>
      </c>
      <c r="R78" s="97"/>
    </row>
    <row r="79" spans="1:21">
      <c r="A79" s="94"/>
      <c r="B79" s="94"/>
      <c r="E79" s="94"/>
      <c r="F79" s="94"/>
      <c r="L79" s="112"/>
      <c r="O79" s="97" t="s">
        <v>5596</v>
      </c>
      <c r="P79" s="18">
        <v>1280015</v>
      </c>
      <c r="Q79" s="97">
        <v>0</v>
      </c>
      <c r="R79" s="97"/>
    </row>
    <row r="80" spans="1:21">
      <c r="A80" s="94"/>
      <c r="B80" s="94"/>
      <c r="E80" s="94"/>
      <c r="F80" s="94"/>
      <c r="O80" s="97" t="s">
        <v>5596</v>
      </c>
      <c r="P80" s="18">
        <v>300000</v>
      </c>
      <c r="Q80" s="97">
        <v>7</v>
      </c>
      <c r="R80" s="97"/>
    </row>
    <row r="81" spans="2:26">
      <c r="B81" s="94"/>
      <c r="E81" s="94"/>
      <c r="F81" s="94"/>
      <c r="O81" s="97" t="s">
        <v>5604</v>
      </c>
      <c r="P81" s="18">
        <v>3000000</v>
      </c>
      <c r="Q81" s="97">
        <v>3</v>
      </c>
      <c r="R81" s="97"/>
    </row>
    <row r="82" spans="2:26">
      <c r="E82" s="94"/>
      <c r="F82" s="94"/>
      <c r="O82" s="97" t="s">
        <v>5623</v>
      </c>
      <c r="P82" s="18">
        <v>300000</v>
      </c>
      <c r="Q82" s="97">
        <v>8</v>
      </c>
      <c r="R82" s="97"/>
    </row>
    <row r="83" spans="2:26">
      <c r="E83" s="94"/>
      <c r="F83" s="94"/>
      <c r="O83" s="97" t="s">
        <v>5647</v>
      </c>
      <c r="P83" s="18">
        <v>-3500000</v>
      </c>
      <c r="Q83" s="97">
        <v>6</v>
      </c>
      <c r="R83" s="97"/>
    </row>
    <row r="84" spans="2:26">
      <c r="E84" s="94"/>
      <c r="F84" s="94"/>
      <c r="O84" s="97" t="s">
        <v>5653</v>
      </c>
      <c r="P84" s="18">
        <v>-70000</v>
      </c>
      <c r="Q84" s="97">
        <v>1</v>
      </c>
      <c r="R84" s="97"/>
    </row>
    <row r="85" spans="2:26">
      <c r="E85" s="94"/>
      <c r="F85" s="94"/>
      <c r="M85" t="s">
        <v>25</v>
      </c>
      <c r="O85" s="97" t="s">
        <v>5657</v>
      </c>
      <c r="P85" s="18">
        <v>70085</v>
      </c>
      <c r="Q85" s="97">
        <v>7</v>
      </c>
      <c r="R85" s="97" t="s">
        <v>5658</v>
      </c>
    </row>
    <row r="86" spans="2:26">
      <c r="E86" s="94"/>
      <c r="F86" s="94"/>
      <c r="O86" s="97" t="s">
        <v>5668</v>
      </c>
      <c r="P86" s="18">
        <v>-1000000</v>
      </c>
      <c r="Q86" s="97">
        <v>31</v>
      </c>
      <c r="R86" s="97"/>
    </row>
    <row r="87" spans="2:26">
      <c r="O87" s="97" t="s">
        <v>5698</v>
      </c>
      <c r="P87" s="18">
        <v>6000000</v>
      </c>
      <c r="Q87" s="97">
        <v>1</v>
      </c>
      <c r="R87" s="97"/>
      <c r="S87" t="s">
        <v>25</v>
      </c>
    </row>
    <row r="88" spans="2:26">
      <c r="O88" s="97" t="s">
        <v>5699</v>
      </c>
      <c r="P88" s="18">
        <v>6000000</v>
      </c>
      <c r="Q88" s="97">
        <v>11</v>
      </c>
      <c r="R88" s="97"/>
    </row>
    <row r="89" spans="2:26">
      <c r="O89" s="97" t="s">
        <v>5714</v>
      </c>
      <c r="P89" s="18">
        <v>48000000</v>
      </c>
      <c r="Q89" s="97">
        <v>8</v>
      </c>
      <c r="R89" s="97"/>
    </row>
    <row r="90" spans="2:26">
      <c r="O90" s="97" t="s">
        <v>5737</v>
      </c>
      <c r="P90" s="18">
        <v>-400000</v>
      </c>
      <c r="Q90" s="97">
        <v>23</v>
      </c>
      <c r="R90" s="97"/>
    </row>
    <row r="91" spans="2:26">
      <c r="O91" s="97" t="s">
        <v>5794</v>
      </c>
      <c r="P91" s="18">
        <v>500000</v>
      </c>
      <c r="Q91" s="97">
        <v>1</v>
      </c>
      <c r="R91" s="97"/>
    </row>
    <row r="92" spans="2:26">
      <c r="O92" s="97"/>
      <c r="P92" s="18"/>
      <c r="Q92" s="97"/>
      <c r="R92" s="97"/>
    </row>
    <row r="93" spans="2:26">
      <c r="O93" s="97"/>
      <c r="P93" s="18"/>
      <c r="Q93" s="97"/>
      <c r="R93" s="97"/>
    </row>
    <row r="94" spans="2:26">
      <c r="O94" s="97"/>
      <c r="P94" s="18">
        <f>SUM(P14:P93)</f>
        <v>60100000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2" sqref="E152"/>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5183</v>
      </c>
      <c r="I95" t="s">
        <v>25</v>
      </c>
    </row>
    <row r="96" spans="1:21">
      <c r="D96" s="18">
        <v>-230000</v>
      </c>
      <c r="E96" s="247" t="s">
        <v>5189</v>
      </c>
    </row>
    <row r="97" spans="4:10">
      <c r="D97" s="18">
        <v>-168950</v>
      </c>
      <c r="E97" s="247" t="s">
        <v>4380</v>
      </c>
      <c r="J97" t="s">
        <v>25</v>
      </c>
    </row>
    <row r="98" spans="4:10">
      <c r="D98" s="18">
        <v>-250000</v>
      </c>
      <c r="E98" s="247" t="s">
        <v>5200</v>
      </c>
    </row>
    <row r="99" spans="4:10">
      <c r="D99" s="18">
        <v>500000</v>
      </c>
      <c r="E99" s="247" t="s">
        <v>5212</v>
      </c>
    </row>
    <row r="100" spans="4:10">
      <c r="D100" s="18">
        <v>-520000</v>
      </c>
      <c r="E100" s="247" t="s">
        <v>5211</v>
      </c>
      <c r="J100" t="s">
        <v>25</v>
      </c>
    </row>
    <row r="101" spans="4:10">
      <c r="D101" s="18">
        <v>500000</v>
      </c>
      <c r="E101" s="247" t="s">
        <v>5222</v>
      </c>
    </row>
    <row r="102" spans="4:10">
      <c r="D102" s="18">
        <v>-200000</v>
      </c>
      <c r="E102" s="247" t="s">
        <v>5226</v>
      </c>
    </row>
    <row r="103" spans="4:10">
      <c r="D103" s="18">
        <v>-300000</v>
      </c>
      <c r="E103" s="247" t="s">
        <v>5227</v>
      </c>
    </row>
    <row r="104" spans="4:10">
      <c r="D104" s="18">
        <v>-530000</v>
      </c>
      <c r="E104" s="247" t="s">
        <v>5245</v>
      </c>
    </row>
    <row r="105" spans="4:10">
      <c r="D105" s="18">
        <v>-550000</v>
      </c>
      <c r="E105" s="247" t="s">
        <v>5247</v>
      </c>
    </row>
    <row r="106" spans="4:10">
      <c r="D106" s="18">
        <v>-200000</v>
      </c>
      <c r="E106" s="247" t="s">
        <v>5270</v>
      </c>
    </row>
    <row r="107" spans="4:10">
      <c r="D107" s="18">
        <v>-1600000</v>
      </c>
      <c r="E107" s="247" t="s">
        <v>5272</v>
      </c>
      <c r="G107" t="s">
        <v>25</v>
      </c>
    </row>
    <row r="108" spans="4:10">
      <c r="D108" s="18">
        <v>1600000</v>
      </c>
      <c r="E108" s="247" t="s">
        <v>5278</v>
      </c>
    </row>
    <row r="109" spans="4:10">
      <c r="D109" s="18">
        <v>-550000</v>
      </c>
      <c r="E109" s="247" t="s">
        <v>5281</v>
      </c>
    </row>
    <row r="110" spans="4:10">
      <c r="D110" s="18">
        <v>-15000</v>
      </c>
      <c r="E110" s="247" t="s">
        <v>5286</v>
      </c>
    </row>
    <row r="111" spans="4:10">
      <c r="D111" s="18">
        <v>-325000</v>
      </c>
      <c r="E111" s="247" t="s">
        <v>5303</v>
      </c>
    </row>
    <row r="112" spans="4:10">
      <c r="D112" s="18">
        <v>-130000</v>
      </c>
      <c r="E112" s="247" t="s">
        <v>5304</v>
      </c>
    </row>
    <row r="113" spans="4:10">
      <c r="D113" s="18">
        <v>-250000</v>
      </c>
      <c r="E113" s="247" t="s">
        <v>5313</v>
      </c>
      <c r="J113" t="s">
        <v>25</v>
      </c>
    </row>
    <row r="114" spans="4:10">
      <c r="D114" s="18">
        <v>-750000</v>
      </c>
      <c r="E114" s="247" t="s">
        <v>5316</v>
      </c>
    </row>
    <row r="115" spans="4:10">
      <c r="D115" s="18">
        <v>250000</v>
      </c>
      <c r="E115" s="247" t="s">
        <v>5323</v>
      </c>
    </row>
    <row r="116" spans="4:10">
      <c r="D116" s="18">
        <v>-2100000</v>
      </c>
      <c r="E116" s="247" t="s">
        <v>5337</v>
      </c>
    </row>
    <row r="117" spans="4:10">
      <c r="D117" s="18">
        <v>-1000000</v>
      </c>
      <c r="E117" s="247" t="s">
        <v>5346</v>
      </c>
    </row>
    <row r="118" spans="4:10">
      <c r="D118" s="18">
        <v>-100000</v>
      </c>
      <c r="E118" s="247" t="s">
        <v>5347</v>
      </c>
    </row>
    <row r="119" spans="4:10">
      <c r="D119" s="18">
        <v>-550000</v>
      </c>
      <c r="E119" s="247" t="s">
        <v>5377</v>
      </c>
    </row>
    <row r="120" spans="4:10">
      <c r="D120" s="18">
        <v>-550000</v>
      </c>
      <c r="E120" s="247" t="s">
        <v>5378</v>
      </c>
    </row>
    <row r="121" spans="4:10">
      <c r="D121" s="18">
        <v>-390000</v>
      </c>
      <c r="E121" s="247" t="s">
        <v>5407</v>
      </c>
      <c r="H121" t="s">
        <v>25</v>
      </c>
      <c r="J121" t="s">
        <v>25</v>
      </c>
    </row>
    <row r="122" spans="4:10">
      <c r="D122" s="18">
        <v>2432520</v>
      </c>
      <c r="E122" s="247" t="s">
        <v>5408</v>
      </c>
    </row>
    <row r="123" spans="4:10">
      <c r="D123" s="18">
        <v>8000000</v>
      </c>
      <c r="E123" s="247" t="s">
        <v>5423</v>
      </c>
    </row>
    <row r="124" spans="4:10">
      <c r="D124" s="18">
        <v>-83930</v>
      </c>
      <c r="E124" s="247" t="s">
        <v>5432</v>
      </c>
    </row>
    <row r="125" spans="4:10">
      <c r="D125" s="18">
        <v>1000000</v>
      </c>
      <c r="E125" s="247" t="s">
        <v>5472</v>
      </c>
    </row>
    <row r="126" spans="4:10">
      <c r="D126" s="18">
        <v>-1333333</v>
      </c>
      <c r="E126" s="247" t="s">
        <v>5473</v>
      </c>
      <c r="J126" t="s">
        <v>25</v>
      </c>
    </row>
    <row r="127" spans="4:10">
      <c r="D127" s="18">
        <v>-1050000</v>
      </c>
      <c r="E127" s="247" t="s">
        <v>5491</v>
      </c>
    </row>
    <row r="128" spans="4:10">
      <c r="D128" s="18">
        <v>-2000000</v>
      </c>
      <c r="E128" s="247" t="s">
        <v>5502</v>
      </c>
      <c r="I128" t="s">
        <v>25</v>
      </c>
    </row>
    <row r="129" spans="4:5">
      <c r="D129" s="18">
        <v>-250000</v>
      </c>
      <c r="E129" s="247" t="s">
        <v>5510</v>
      </c>
    </row>
    <row r="130" spans="4:5">
      <c r="D130" s="18">
        <v>-550000</v>
      </c>
      <c r="E130" s="247" t="s">
        <v>5518</v>
      </c>
    </row>
    <row r="131" spans="4:5">
      <c r="D131" s="18">
        <v>210000</v>
      </c>
      <c r="E131" s="247" t="s">
        <v>5519</v>
      </c>
    </row>
    <row r="132" spans="4:5">
      <c r="D132" s="18">
        <v>-724200</v>
      </c>
      <c r="E132" s="247" t="s">
        <v>5557</v>
      </c>
    </row>
    <row r="133" spans="4:5">
      <c r="D133" s="18">
        <v>-400000</v>
      </c>
      <c r="E133" s="247" t="s">
        <v>5568</v>
      </c>
    </row>
    <row r="134" spans="4:5">
      <c r="D134" s="18">
        <v>-550000</v>
      </c>
      <c r="E134" s="247" t="s">
        <v>5580</v>
      </c>
    </row>
    <row r="135" spans="4:5">
      <c r="D135" s="18">
        <v>-2167000</v>
      </c>
      <c r="E135" s="247" t="s">
        <v>5585</v>
      </c>
    </row>
    <row r="136" spans="4:5">
      <c r="D136" s="18">
        <v>-125000</v>
      </c>
      <c r="E136" s="247" t="s">
        <v>5593</v>
      </c>
    </row>
    <row r="137" spans="4:5">
      <c r="D137" s="18">
        <v>-200000</v>
      </c>
      <c r="E137" s="247" t="s">
        <v>5600</v>
      </c>
    </row>
    <row r="138" spans="4:5">
      <c r="D138" s="18">
        <v>-2000000</v>
      </c>
      <c r="E138" s="247" t="s">
        <v>5615</v>
      </c>
    </row>
    <row r="139" spans="4:5">
      <c r="D139" s="18">
        <v>-1287000</v>
      </c>
      <c r="E139" s="247" t="s">
        <v>5622</v>
      </c>
    </row>
    <row r="140" spans="4:5">
      <c r="D140" s="18">
        <v>-2000000</v>
      </c>
      <c r="E140" s="247" t="s">
        <v>5629</v>
      </c>
    </row>
    <row r="141" spans="4:5">
      <c r="D141" s="18">
        <v>-2500000</v>
      </c>
      <c r="E141" s="247" t="s">
        <v>5630</v>
      </c>
    </row>
    <row r="142" spans="4:5">
      <c r="D142" s="18">
        <v>-500000</v>
      </c>
      <c r="E142" s="247" t="s">
        <v>5646</v>
      </c>
    </row>
    <row r="143" spans="4:5">
      <c r="D143" s="18">
        <v>-83930</v>
      </c>
      <c r="E143" s="247" t="s">
        <v>5655</v>
      </c>
    </row>
    <row r="144" spans="4:5">
      <c r="D144" s="18">
        <v>-550000</v>
      </c>
      <c r="E144" s="247" t="s">
        <v>5654</v>
      </c>
    </row>
    <row r="145" spans="4:9">
      <c r="D145" s="18">
        <v>-25000</v>
      </c>
      <c r="E145" s="247" t="s">
        <v>5667</v>
      </c>
      <c r="I145" t="s">
        <v>25</v>
      </c>
    </row>
    <row r="146" spans="4:9">
      <c r="D146" s="18">
        <v>-180000</v>
      </c>
      <c r="E146" s="247" t="s">
        <v>5722</v>
      </c>
      <c r="G146" t="s">
        <v>25</v>
      </c>
    </row>
    <row r="147" spans="4:9">
      <c r="D147" s="18">
        <v>-30000</v>
      </c>
      <c r="E147" s="247" t="s">
        <v>5721</v>
      </c>
    </row>
    <row r="148" spans="4:9">
      <c r="D148" s="18">
        <v>-47000</v>
      </c>
      <c r="E148" s="247" t="s">
        <v>5720</v>
      </c>
    </row>
    <row r="149" spans="4:9">
      <c r="D149" s="18">
        <v>-1000000</v>
      </c>
      <c r="E149" s="247" t="s">
        <v>5723</v>
      </c>
    </row>
    <row r="150" spans="4:9">
      <c r="D150" s="18">
        <v>-500000</v>
      </c>
      <c r="E150" s="247" t="s">
        <v>5743</v>
      </c>
    </row>
    <row r="151" spans="4:9">
      <c r="D151" s="18">
        <v>-5000000</v>
      </c>
      <c r="E151" s="247" t="s">
        <v>5749</v>
      </c>
    </row>
    <row r="152" spans="4:9">
      <c r="D152" s="18">
        <v>-200000</v>
      </c>
      <c r="E152" s="247" t="s">
        <v>5763</v>
      </c>
    </row>
    <row r="153" spans="4:9">
      <c r="D153" s="18"/>
      <c r="E153" s="247"/>
      <c r="I153" t="s">
        <v>25</v>
      </c>
    </row>
    <row r="154" spans="4:9">
      <c r="D154" s="18"/>
      <c r="E154" s="247"/>
    </row>
    <row r="155" spans="4:9">
      <c r="D155" s="18"/>
      <c r="E155" s="94"/>
      <c r="I155" t="s">
        <v>25</v>
      </c>
    </row>
    <row r="156" spans="4:9">
      <c r="D156" s="18"/>
      <c r="E156" s="94" t="s">
        <v>25</v>
      </c>
    </row>
    <row r="157" spans="4:9">
      <c r="D157" s="18">
        <f>SUM(D40:D156)</f>
        <v>6177586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30" t="s">
        <v>1073</v>
      </c>
      <c r="R21" s="330"/>
      <c r="S21" s="330"/>
      <c r="T21" s="330"/>
      <c r="U21" s="94"/>
      <c r="V21" s="94"/>
      <c r="W21" s="41" t="s">
        <v>4979</v>
      </c>
      <c r="X21" s="41">
        <v>9035210431</v>
      </c>
      <c r="Y21" s="41">
        <v>50</v>
      </c>
      <c r="Z21" s="41" t="s">
        <v>5252</v>
      </c>
      <c r="AA21" t="s">
        <v>4997</v>
      </c>
    </row>
    <row r="22" spans="5:35">
      <c r="O22" s="97"/>
      <c r="P22" s="97"/>
      <c r="Q22" s="330"/>
      <c r="R22" s="330"/>
      <c r="S22" s="330"/>
      <c r="T22" s="330"/>
      <c r="U22" s="94"/>
      <c r="V22" s="94"/>
      <c r="W22" s="41" t="s">
        <v>5068</v>
      </c>
      <c r="X22" s="41">
        <v>9909620343</v>
      </c>
      <c r="Y22" s="41">
        <v>200</v>
      </c>
      <c r="Z22" s="41" t="s">
        <v>5253</v>
      </c>
      <c r="AA22" t="s">
        <v>5256</v>
      </c>
      <c r="AB22" s="41" t="s">
        <v>5264</v>
      </c>
    </row>
    <row r="23" spans="5:35" ht="15.75">
      <c r="O23" s="176"/>
      <c r="P23" s="97" t="s">
        <v>4070</v>
      </c>
      <c r="Q23" s="331" t="s">
        <v>1074</v>
      </c>
      <c r="R23" s="332" t="s">
        <v>1075</v>
      </c>
      <c r="S23" s="331" t="s">
        <v>1076</v>
      </c>
      <c r="T23" s="333" t="s">
        <v>1077</v>
      </c>
      <c r="W23" s="41" t="s">
        <v>5069</v>
      </c>
      <c r="X23" s="41">
        <v>9378807702</v>
      </c>
      <c r="Y23" s="41">
        <v>0</v>
      </c>
      <c r="Z23" s="41">
        <v>0</v>
      </c>
      <c r="AD23" t="s">
        <v>25</v>
      </c>
    </row>
    <row r="24" spans="5:35">
      <c r="O24" s="97"/>
      <c r="P24" s="97"/>
      <c r="Q24" s="331"/>
      <c r="R24" s="332"/>
      <c r="S24" s="331"/>
      <c r="T24" s="333"/>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5252</v>
      </c>
      <c r="AA25" t="s">
        <v>5179</v>
      </c>
    </row>
    <row r="26" spans="5:35">
      <c r="O26" s="171"/>
      <c r="P26" s="171">
        <v>2123095122</v>
      </c>
      <c r="Q26" s="173" t="s">
        <v>1080</v>
      </c>
      <c r="R26" s="173" t="s">
        <v>1081</v>
      </c>
      <c r="S26" s="173" t="s">
        <v>1082</v>
      </c>
      <c r="T26" s="173" t="s">
        <v>1083</v>
      </c>
      <c r="U26" s="94"/>
      <c r="V26" s="94"/>
      <c r="W26" s="41" t="s">
        <v>5254</v>
      </c>
      <c r="X26" s="41">
        <v>9214923916</v>
      </c>
      <c r="Y26" s="41">
        <v>100</v>
      </c>
      <c r="Z26" s="41" t="s">
        <v>4495</v>
      </c>
      <c r="AA26" s="204" t="s">
        <v>5248</v>
      </c>
      <c r="AB26" s="94"/>
    </row>
    <row r="27" spans="5:35" ht="30">
      <c r="O27" s="171" t="s">
        <v>4181</v>
      </c>
      <c r="P27" s="171">
        <v>2188831909</v>
      </c>
      <c r="Q27" s="97" t="s">
        <v>4073</v>
      </c>
      <c r="R27" s="97" t="s">
        <v>4074</v>
      </c>
      <c r="S27" s="97" t="s">
        <v>4075</v>
      </c>
      <c r="T27" s="174" t="s">
        <v>4077</v>
      </c>
      <c r="U27" s="94"/>
      <c r="V27" s="94"/>
      <c r="W27" s="41" t="s">
        <v>5255</v>
      </c>
      <c r="X27" s="41" t="s">
        <v>5312</v>
      </c>
      <c r="Y27" s="41">
        <v>80</v>
      </c>
      <c r="Z27" s="41" t="s">
        <v>5252</v>
      </c>
      <c r="AA27" s="204" t="s">
        <v>5248</v>
      </c>
      <c r="AB27" s="94"/>
    </row>
    <row r="28" spans="5:35" ht="60">
      <c r="E28" t="s">
        <v>25</v>
      </c>
      <c r="T28" s="22" t="s">
        <v>4063</v>
      </c>
      <c r="U28" s="94"/>
      <c r="V28" s="94"/>
      <c r="W28" s="41" t="s">
        <v>5643</v>
      </c>
      <c r="X28" s="41">
        <v>9373349244</v>
      </c>
      <c r="Y28" s="41">
        <v>150</v>
      </c>
      <c r="Z28" s="41" t="s">
        <v>5644</v>
      </c>
      <c r="AA28" s="94" t="s">
        <v>5638</v>
      </c>
      <c r="AB28" s="94"/>
    </row>
    <row r="29" spans="5:35">
      <c r="R29" s="94"/>
      <c r="S29" s="94"/>
      <c r="T29" s="94"/>
      <c r="U29" s="94"/>
      <c r="V29" s="94"/>
      <c r="W29" s="41" t="s">
        <v>5676</v>
      </c>
      <c r="X29" s="41">
        <v>9332154549</v>
      </c>
      <c r="Y29" s="41">
        <v>120</v>
      </c>
      <c r="Z29" s="41" t="s">
        <v>5644</v>
      </c>
      <c r="AA29" s="94" t="s">
        <v>5674</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5324</v>
      </c>
      <c r="E1" s="97"/>
      <c r="F1" s="97"/>
      <c r="G1" s="97"/>
      <c r="H1" s="97"/>
      <c r="I1" s="97"/>
    </row>
    <row r="2" spans="1:15">
      <c r="A2" s="97">
        <v>1</v>
      </c>
      <c r="B2" s="97" t="s">
        <v>5224</v>
      </c>
      <c r="C2" s="93">
        <v>28500</v>
      </c>
      <c r="D2" s="97" t="s">
        <v>5327</v>
      </c>
      <c r="E2" s="97"/>
      <c r="F2" s="97"/>
      <c r="G2" s="97"/>
      <c r="H2" s="97"/>
      <c r="I2" s="97"/>
    </row>
    <row r="3" spans="1:15">
      <c r="A3" s="97">
        <v>2</v>
      </c>
      <c r="B3" s="97" t="s">
        <v>5251</v>
      </c>
      <c r="C3" s="93">
        <v>180200</v>
      </c>
      <c r="D3" s="97" t="s">
        <v>5326</v>
      </c>
      <c r="E3" s="97"/>
      <c r="F3" s="97"/>
      <c r="G3" s="97"/>
      <c r="H3" s="97"/>
      <c r="I3" s="97"/>
    </row>
    <row r="4" spans="1:15">
      <c r="A4" s="97">
        <v>3</v>
      </c>
      <c r="B4" s="97" t="s">
        <v>5319</v>
      </c>
      <c r="C4" s="93">
        <v>187000</v>
      </c>
      <c r="D4" s="97" t="s">
        <v>5325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5175</v>
      </c>
      <c r="B333" s="111">
        <v>-78508</v>
      </c>
      <c r="C333" s="97">
        <v>2</v>
      </c>
      <c r="D333" s="97">
        <f t="shared" si="20"/>
        <v>253</v>
      </c>
      <c r="E333" s="97">
        <f t="shared" si="21"/>
        <v>0</v>
      </c>
      <c r="F333" s="97">
        <f>B333*(D333-E333)</f>
        <v>-19862524</v>
      </c>
      <c r="G333" s="97"/>
    </row>
    <row r="334" spans="1:9">
      <c r="A334" s="97" t="s">
        <v>5176</v>
      </c>
      <c r="B334" s="111">
        <v>-2000</v>
      </c>
      <c r="C334" s="97">
        <v>4</v>
      </c>
      <c r="D334" s="97">
        <f t="shared" ref="D334:D352" si="22">D335+C334</f>
        <v>251</v>
      </c>
      <c r="E334" s="97">
        <f t="shared" ref="E334:E352" si="23">IF(B335&gt;0,1,0)</f>
        <v>1</v>
      </c>
      <c r="F334" s="97">
        <f t="shared" ref="F334:F352" si="24">B334*(D334-E334)</f>
        <v>-500000</v>
      </c>
      <c r="G334" s="97"/>
    </row>
    <row r="335" spans="1:9">
      <c r="A335" s="97" t="s">
        <v>5179</v>
      </c>
      <c r="B335" s="111">
        <v>2200472</v>
      </c>
      <c r="C335" s="97">
        <v>1</v>
      </c>
      <c r="D335" s="97">
        <f t="shared" si="22"/>
        <v>247</v>
      </c>
      <c r="E335" s="97">
        <f t="shared" si="23"/>
        <v>0</v>
      </c>
      <c r="F335" s="97">
        <f t="shared" si="24"/>
        <v>543516584</v>
      </c>
      <c r="G335" s="97"/>
      <c r="H335" t="s">
        <v>25</v>
      </c>
    </row>
    <row r="336" spans="1:9">
      <c r="A336" s="97" t="s">
        <v>5185</v>
      </c>
      <c r="B336" s="111">
        <v>-28000</v>
      </c>
      <c r="C336" s="97">
        <v>2</v>
      </c>
      <c r="D336" s="97">
        <f t="shared" si="22"/>
        <v>246</v>
      </c>
      <c r="E336" s="97">
        <f t="shared" si="23"/>
        <v>1</v>
      </c>
      <c r="F336" s="97">
        <f t="shared" si="24"/>
        <v>-6860000</v>
      </c>
      <c r="G336" s="97"/>
    </row>
    <row r="337" spans="1:13">
      <c r="A337" s="97" t="s">
        <v>5184</v>
      </c>
      <c r="B337" s="111">
        <v>2500000</v>
      </c>
      <c r="C337" s="97">
        <v>0</v>
      </c>
      <c r="D337" s="97">
        <f t="shared" si="22"/>
        <v>244</v>
      </c>
      <c r="E337" s="97">
        <f t="shared" si="23"/>
        <v>0</v>
      </c>
      <c r="F337" s="97">
        <f t="shared" si="24"/>
        <v>610000000</v>
      </c>
      <c r="G337" s="97"/>
    </row>
    <row r="338" spans="1:13">
      <c r="A338" s="97" t="s">
        <v>5184</v>
      </c>
      <c r="B338" s="111">
        <v>-407500</v>
      </c>
      <c r="C338" s="97">
        <v>2</v>
      </c>
      <c r="D338" s="97">
        <f t="shared" si="22"/>
        <v>244</v>
      </c>
      <c r="E338" s="97">
        <f t="shared" si="23"/>
        <v>0</v>
      </c>
      <c r="F338" s="97">
        <f t="shared" si="24"/>
        <v>-99430000</v>
      </c>
      <c r="G338" s="97"/>
    </row>
    <row r="339" spans="1:13">
      <c r="A339" s="97" t="s">
        <v>5186</v>
      </c>
      <c r="B339" s="111">
        <v>-3600</v>
      </c>
      <c r="C339" s="97">
        <v>1</v>
      </c>
      <c r="D339" s="97">
        <f t="shared" si="22"/>
        <v>242</v>
      </c>
      <c r="E339" s="97">
        <f t="shared" si="23"/>
        <v>0</v>
      </c>
      <c r="F339" s="97">
        <f t="shared" si="24"/>
        <v>-871200</v>
      </c>
      <c r="G339" s="97"/>
    </row>
    <row r="340" spans="1:13">
      <c r="A340" s="97" t="s">
        <v>5190</v>
      </c>
      <c r="B340" s="111">
        <v>-170094</v>
      </c>
      <c r="C340" s="97">
        <v>1</v>
      </c>
      <c r="D340" s="97">
        <f t="shared" si="22"/>
        <v>241</v>
      </c>
      <c r="E340" s="97">
        <f t="shared" si="23"/>
        <v>0</v>
      </c>
      <c r="F340" s="97">
        <f t="shared" si="24"/>
        <v>-40992654</v>
      </c>
      <c r="G340" s="97"/>
      <c r="J340" t="s">
        <v>25</v>
      </c>
    </row>
    <row r="341" spans="1:13">
      <c r="A341" s="97" t="s">
        <v>5187</v>
      </c>
      <c r="B341" s="111">
        <v>-51730</v>
      </c>
      <c r="C341" s="97">
        <v>1</v>
      </c>
      <c r="D341" s="97">
        <f t="shared" si="22"/>
        <v>240</v>
      </c>
      <c r="E341" s="97">
        <f t="shared" si="23"/>
        <v>0</v>
      </c>
      <c r="F341" s="97">
        <f t="shared" si="24"/>
        <v>-12415200</v>
      </c>
      <c r="G341" s="97"/>
    </row>
    <row r="342" spans="1:13">
      <c r="A342" s="97" t="s">
        <v>5191</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5193</v>
      </c>
      <c r="B345" s="111">
        <v>-566500</v>
      </c>
      <c r="C345" s="97">
        <v>1</v>
      </c>
      <c r="D345" s="97">
        <f t="shared" si="22"/>
        <v>236</v>
      </c>
      <c r="E345" s="97">
        <f t="shared" si="23"/>
        <v>0</v>
      </c>
      <c r="F345" s="97">
        <f t="shared" si="24"/>
        <v>-133694000</v>
      </c>
      <c r="G345" s="97"/>
      <c r="K345" t="s">
        <v>25</v>
      </c>
    </row>
    <row r="346" spans="1:13">
      <c r="A346" s="97" t="s">
        <v>5194</v>
      </c>
      <c r="B346" s="111">
        <v>-300000</v>
      </c>
      <c r="C346" s="97">
        <v>22</v>
      </c>
      <c r="D346" s="97">
        <f t="shared" si="22"/>
        <v>235</v>
      </c>
      <c r="E346" s="97">
        <f t="shared" si="23"/>
        <v>1</v>
      </c>
      <c r="F346" s="97">
        <f t="shared" si="24"/>
        <v>-70200000</v>
      </c>
      <c r="G346" s="97"/>
      <c r="J346" t="s">
        <v>25</v>
      </c>
    </row>
    <row r="347" spans="1:13">
      <c r="A347" s="97" t="s">
        <v>5215</v>
      </c>
      <c r="B347" s="111">
        <v>700000</v>
      </c>
      <c r="C347" s="97">
        <v>1</v>
      </c>
      <c r="D347" s="97">
        <f t="shared" si="22"/>
        <v>213</v>
      </c>
      <c r="E347" s="97">
        <f t="shared" si="23"/>
        <v>0</v>
      </c>
      <c r="F347" s="97">
        <f t="shared" si="24"/>
        <v>149100000</v>
      </c>
      <c r="G347" s="97"/>
    </row>
    <row r="348" spans="1:13">
      <c r="A348" s="97" t="s">
        <v>5218</v>
      </c>
      <c r="B348" s="111">
        <v>-101000</v>
      </c>
      <c r="C348" s="97">
        <v>1</v>
      </c>
      <c r="D348" s="97">
        <f t="shared" si="22"/>
        <v>212</v>
      </c>
      <c r="E348" s="97">
        <f t="shared" si="23"/>
        <v>0</v>
      </c>
      <c r="F348" s="97">
        <f t="shared" si="24"/>
        <v>-21412000</v>
      </c>
      <c r="G348" s="97"/>
    </row>
    <row r="349" spans="1:13">
      <c r="A349" s="97" t="s">
        <v>5218</v>
      </c>
      <c r="B349" s="111">
        <v>-57245</v>
      </c>
      <c r="C349" s="97">
        <v>1</v>
      </c>
      <c r="D349" s="97">
        <f t="shared" si="22"/>
        <v>211</v>
      </c>
      <c r="E349" s="97">
        <f t="shared" si="23"/>
        <v>0</v>
      </c>
      <c r="F349" s="97">
        <f t="shared" si="24"/>
        <v>-12078695</v>
      </c>
      <c r="G349" s="97"/>
    </row>
    <row r="350" spans="1:13">
      <c r="A350" s="97" t="s">
        <v>5220</v>
      </c>
      <c r="B350" s="111">
        <v>-398700</v>
      </c>
      <c r="C350" s="97">
        <v>2</v>
      </c>
      <c r="D350" s="97">
        <f t="shared" si="22"/>
        <v>210</v>
      </c>
      <c r="E350" s="97">
        <f t="shared" si="23"/>
        <v>0</v>
      </c>
      <c r="F350" s="97">
        <f t="shared" si="24"/>
        <v>-83727000</v>
      </c>
      <c r="G350" s="97"/>
    </row>
    <row r="351" spans="1:13">
      <c r="A351" s="97" t="s">
        <v>5219</v>
      </c>
      <c r="B351" s="111">
        <v>-87010</v>
      </c>
      <c r="C351" s="97">
        <v>5</v>
      </c>
      <c r="D351" s="97">
        <f t="shared" si="22"/>
        <v>208</v>
      </c>
      <c r="E351" s="97">
        <f t="shared" si="23"/>
        <v>0</v>
      </c>
      <c r="F351" s="97">
        <f t="shared" si="24"/>
        <v>-18098080</v>
      </c>
      <c r="G351" s="97"/>
    </row>
    <row r="352" spans="1:13">
      <c r="A352" s="97" t="s">
        <v>5249</v>
      </c>
      <c r="B352" s="111">
        <v>-50000</v>
      </c>
      <c r="C352" s="97">
        <v>28</v>
      </c>
      <c r="D352" s="97">
        <f t="shared" si="22"/>
        <v>203</v>
      </c>
      <c r="E352" s="97">
        <f t="shared" si="23"/>
        <v>1</v>
      </c>
      <c r="F352" s="97">
        <f t="shared" si="24"/>
        <v>-10100000</v>
      </c>
      <c r="G352" s="97"/>
    </row>
    <row r="353" spans="1:12">
      <c r="A353" s="97" t="s">
        <v>5248</v>
      </c>
      <c r="B353" s="111">
        <v>1200000</v>
      </c>
      <c r="C353" s="97">
        <v>0</v>
      </c>
      <c r="D353" s="97">
        <f t="shared" ref="D353:D365" si="25">D354+C353</f>
        <v>175</v>
      </c>
      <c r="E353" s="97">
        <f t="shared" ref="E353:E365" si="26">IF(B354&gt;0,1,0)</f>
        <v>0</v>
      </c>
      <c r="F353" s="97">
        <f t="shared" ref="F353:F365" si="27">B353*(D353-E353)</f>
        <v>210000000</v>
      </c>
      <c r="G353" s="97"/>
    </row>
    <row r="354" spans="1:12">
      <c r="A354" s="97" t="s">
        <v>5248</v>
      </c>
      <c r="B354" s="111">
        <v>-367300</v>
      </c>
      <c r="C354" s="97">
        <v>1</v>
      </c>
      <c r="D354" s="97">
        <f t="shared" si="25"/>
        <v>175</v>
      </c>
      <c r="E354" s="97">
        <f t="shared" si="26"/>
        <v>0</v>
      </c>
      <c r="F354" s="97">
        <f t="shared" si="27"/>
        <v>-64277500</v>
      </c>
      <c r="G354" s="97"/>
    </row>
    <row r="355" spans="1:12">
      <c r="A355" s="97" t="s">
        <v>5250</v>
      </c>
      <c r="B355" s="111">
        <v>-104894</v>
      </c>
      <c r="C355" s="97">
        <v>1</v>
      </c>
      <c r="D355" s="97">
        <f t="shared" si="25"/>
        <v>174</v>
      </c>
      <c r="E355" s="97">
        <f t="shared" si="26"/>
        <v>0</v>
      </c>
      <c r="F355" s="97">
        <f t="shared" si="27"/>
        <v>-18251556</v>
      </c>
      <c r="G355" s="97"/>
    </row>
    <row r="356" spans="1:12">
      <c r="A356" s="97" t="s">
        <v>5251</v>
      </c>
      <c r="B356" s="111">
        <v>-688700</v>
      </c>
      <c r="C356" s="97">
        <v>0</v>
      </c>
      <c r="D356" s="97">
        <f t="shared" si="25"/>
        <v>173</v>
      </c>
      <c r="E356" s="97">
        <f t="shared" si="26"/>
        <v>0</v>
      </c>
      <c r="F356" s="97">
        <f t="shared" si="27"/>
        <v>-119145100</v>
      </c>
      <c r="G356" s="97"/>
    </row>
    <row r="357" spans="1:12">
      <c r="A357" s="97" t="s">
        <v>5251</v>
      </c>
      <c r="B357" s="111">
        <v>-8321</v>
      </c>
      <c r="C357" s="97">
        <v>5</v>
      </c>
      <c r="D357" s="97">
        <f t="shared" si="25"/>
        <v>173</v>
      </c>
      <c r="E357" s="97">
        <f t="shared" si="26"/>
        <v>1</v>
      </c>
      <c r="F357" s="97">
        <f t="shared" si="27"/>
        <v>-1431212</v>
      </c>
      <c r="G357" s="97"/>
      <c r="J357" t="s">
        <v>25</v>
      </c>
    </row>
    <row r="358" spans="1:12">
      <c r="A358" s="97" t="s">
        <v>5261</v>
      </c>
      <c r="B358" s="111">
        <v>1000000</v>
      </c>
      <c r="C358" s="97">
        <v>0</v>
      </c>
      <c r="D358" s="97">
        <f t="shared" si="25"/>
        <v>168</v>
      </c>
      <c r="E358" s="97">
        <f t="shared" si="26"/>
        <v>0</v>
      </c>
      <c r="F358" s="97">
        <f t="shared" si="27"/>
        <v>168000000</v>
      </c>
      <c r="G358" s="97"/>
    </row>
    <row r="359" spans="1:12">
      <c r="A359" s="97" t="s">
        <v>5261</v>
      </c>
      <c r="B359" s="111">
        <v>-127644</v>
      </c>
      <c r="C359" s="97">
        <v>1</v>
      </c>
      <c r="D359" s="97">
        <f t="shared" si="25"/>
        <v>168</v>
      </c>
      <c r="E359" s="97">
        <f t="shared" si="26"/>
        <v>0</v>
      </c>
      <c r="F359" s="97">
        <f t="shared" si="27"/>
        <v>-21444192</v>
      </c>
      <c r="G359" s="97"/>
    </row>
    <row r="360" spans="1:12">
      <c r="A360" s="97" t="s">
        <v>5262</v>
      </c>
      <c r="B360" s="111">
        <v>-418000</v>
      </c>
      <c r="C360" s="97">
        <v>4</v>
      </c>
      <c r="D360" s="97">
        <f t="shared" si="25"/>
        <v>167</v>
      </c>
      <c r="E360" s="97">
        <f t="shared" si="26"/>
        <v>0</v>
      </c>
      <c r="F360" s="97">
        <f t="shared" si="27"/>
        <v>-69806000</v>
      </c>
      <c r="G360" s="97"/>
    </row>
    <row r="361" spans="1:12">
      <c r="A361" s="97" t="s">
        <v>5266</v>
      </c>
      <c r="B361" s="111">
        <v>-183136</v>
      </c>
      <c r="C361" s="97">
        <v>2</v>
      </c>
      <c r="D361" s="97">
        <f t="shared" si="25"/>
        <v>163</v>
      </c>
      <c r="E361" s="97">
        <f t="shared" si="26"/>
        <v>0</v>
      </c>
      <c r="F361" s="97">
        <f t="shared" si="27"/>
        <v>-29851168</v>
      </c>
      <c r="G361" s="97"/>
      <c r="L361" t="s">
        <v>25</v>
      </c>
    </row>
    <row r="362" spans="1:12">
      <c r="A362" s="97" t="s">
        <v>5293</v>
      </c>
      <c r="B362" s="111">
        <v>-18600</v>
      </c>
      <c r="C362" s="97">
        <v>2</v>
      </c>
      <c r="D362" s="97">
        <f t="shared" si="25"/>
        <v>161</v>
      </c>
      <c r="E362" s="97">
        <f t="shared" si="26"/>
        <v>0</v>
      </c>
      <c r="F362" s="97">
        <f t="shared" si="27"/>
        <v>-2994600</v>
      </c>
      <c r="G362" s="97"/>
    </row>
    <row r="363" spans="1:12">
      <c r="A363" s="97" t="s">
        <v>5275</v>
      </c>
      <c r="B363" s="111">
        <v>-90000</v>
      </c>
      <c r="C363" s="97">
        <v>1</v>
      </c>
      <c r="D363" s="97">
        <f t="shared" si="25"/>
        <v>159</v>
      </c>
      <c r="E363" s="97">
        <f t="shared" si="26"/>
        <v>0</v>
      </c>
      <c r="F363" s="97">
        <f t="shared" si="27"/>
        <v>-14310000</v>
      </c>
      <c r="G363" s="97"/>
    </row>
    <row r="364" spans="1:12">
      <c r="A364" s="97" t="s">
        <v>5276</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5279</v>
      </c>
      <c r="B368" s="111">
        <v>3500000</v>
      </c>
      <c r="C368" s="97">
        <v>3</v>
      </c>
      <c r="D368" s="97">
        <f t="shared" si="28"/>
        <v>156</v>
      </c>
      <c r="E368" s="97">
        <f t="shared" si="29"/>
        <v>0</v>
      </c>
      <c r="F368" s="97">
        <f t="shared" si="30"/>
        <v>546000000</v>
      </c>
      <c r="G368" s="97"/>
    </row>
    <row r="369" spans="1:11">
      <c r="A369" s="97" t="s">
        <v>5282</v>
      </c>
      <c r="B369" s="111">
        <v>-93800</v>
      </c>
      <c r="C369" s="97">
        <v>1</v>
      </c>
      <c r="D369" s="97">
        <f t="shared" si="28"/>
        <v>153</v>
      </c>
      <c r="E369" s="97">
        <f t="shared" si="29"/>
        <v>0</v>
      </c>
      <c r="F369" s="97">
        <f t="shared" si="30"/>
        <v>-14351400</v>
      </c>
      <c r="G369" s="97"/>
    </row>
    <row r="370" spans="1:11">
      <c r="A370" s="97" t="s">
        <v>5284</v>
      </c>
      <c r="B370" s="111">
        <v>-815500</v>
      </c>
      <c r="C370" s="97">
        <v>1</v>
      </c>
      <c r="D370" s="97">
        <f t="shared" si="28"/>
        <v>152</v>
      </c>
      <c r="E370" s="97">
        <f t="shared" si="29"/>
        <v>0</v>
      </c>
      <c r="F370" s="97">
        <f t="shared" si="30"/>
        <v>-123956000</v>
      </c>
      <c r="G370" s="97"/>
    </row>
    <row r="371" spans="1:11">
      <c r="A371" s="97" t="s">
        <v>5287</v>
      </c>
      <c r="B371" s="111">
        <v>-2096840</v>
      </c>
      <c r="C371" s="97">
        <v>0</v>
      </c>
      <c r="D371" s="97">
        <f t="shared" si="28"/>
        <v>151</v>
      </c>
      <c r="E371" s="97">
        <f t="shared" si="29"/>
        <v>1</v>
      </c>
      <c r="F371" s="97">
        <f t="shared" si="30"/>
        <v>-314526000</v>
      </c>
      <c r="G371" s="97"/>
    </row>
    <row r="372" spans="1:11">
      <c r="A372" s="97" t="s">
        <v>5287</v>
      </c>
      <c r="B372" s="111">
        <v>533</v>
      </c>
      <c r="C372" s="97">
        <v>1</v>
      </c>
      <c r="D372" s="97">
        <f t="shared" si="28"/>
        <v>151</v>
      </c>
      <c r="E372" s="97">
        <f t="shared" si="29"/>
        <v>1</v>
      </c>
      <c r="F372" s="97">
        <f t="shared" si="30"/>
        <v>79950</v>
      </c>
      <c r="G372" s="97"/>
      <c r="J372" t="s">
        <v>25</v>
      </c>
    </row>
    <row r="373" spans="1:11">
      <c r="A373" s="97" t="s">
        <v>5290</v>
      </c>
      <c r="B373" s="111">
        <v>4100000</v>
      </c>
      <c r="C373" s="97">
        <v>1</v>
      </c>
      <c r="D373" s="97">
        <f t="shared" si="28"/>
        <v>150</v>
      </c>
      <c r="E373" s="97">
        <f t="shared" si="29"/>
        <v>0</v>
      </c>
      <c r="F373" s="97">
        <f t="shared" si="30"/>
        <v>615000000</v>
      </c>
      <c r="G373" s="97"/>
    </row>
    <row r="374" spans="1:11">
      <c r="A374" s="97" t="s">
        <v>5294</v>
      </c>
      <c r="B374" s="111">
        <v>-3642549</v>
      </c>
      <c r="C374" s="97">
        <v>3</v>
      </c>
      <c r="D374" s="97">
        <f t="shared" si="28"/>
        <v>149</v>
      </c>
      <c r="E374" s="97">
        <f t="shared" si="29"/>
        <v>0</v>
      </c>
      <c r="F374" s="97">
        <f t="shared" si="30"/>
        <v>-542739801</v>
      </c>
      <c r="G374" s="97"/>
    </row>
    <row r="375" spans="1:11">
      <c r="A375" s="97" t="s">
        <v>5305</v>
      </c>
      <c r="B375" s="111">
        <v>-317091</v>
      </c>
      <c r="C375" s="97">
        <v>1</v>
      </c>
      <c r="D375" s="97">
        <f t="shared" si="28"/>
        <v>146</v>
      </c>
      <c r="E375" s="97">
        <f t="shared" si="29"/>
        <v>0</v>
      </c>
      <c r="F375" s="97">
        <f t="shared" si="30"/>
        <v>-46295286</v>
      </c>
      <c r="G375" s="97"/>
    </row>
    <row r="376" spans="1:11">
      <c r="A376" s="97" t="s">
        <v>5297</v>
      </c>
      <c r="B376" s="111">
        <v>-1600000</v>
      </c>
      <c r="C376" s="97">
        <v>1</v>
      </c>
      <c r="D376" s="97">
        <f t="shared" si="28"/>
        <v>145</v>
      </c>
      <c r="E376" s="97">
        <f t="shared" si="29"/>
        <v>0</v>
      </c>
      <c r="F376" s="97">
        <f t="shared" si="30"/>
        <v>-232000000</v>
      </c>
      <c r="G376" s="97"/>
    </row>
    <row r="377" spans="1:11">
      <c r="A377" s="97" t="s">
        <v>5300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5379</v>
      </c>
      <c r="B379" s="111">
        <v>10000000</v>
      </c>
      <c r="C379" s="97">
        <v>0</v>
      </c>
      <c r="D379" s="97">
        <f t="shared" si="31"/>
        <v>121</v>
      </c>
      <c r="E379" s="97">
        <f t="shared" si="32"/>
        <v>0</v>
      </c>
      <c r="F379" s="97">
        <f t="shared" si="33"/>
        <v>1210000000</v>
      </c>
      <c r="G379" s="97"/>
    </row>
    <row r="380" spans="1:11">
      <c r="A380" s="97" t="s">
        <v>5379</v>
      </c>
      <c r="B380" s="111">
        <v>-3000000</v>
      </c>
      <c r="C380" s="97">
        <v>0</v>
      </c>
      <c r="D380" s="97">
        <f t="shared" si="31"/>
        <v>121</v>
      </c>
      <c r="E380" s="97">
        <f t="shared" si="32"/>
        <v>0</v>
      </c>
      <c r="F380" s="97">
        <f t="shared" si="33"/>
        <v>-363000000</v>
      </c>
      <c r="G380" s="97"/>
    </row>
    <row r="381" spans="1:11">
      <c r="A381" s="97" t="s">
        <v>5379</v>
      </c>
      <c r="B381" s="111">
        <v>-3971300</v>
      </c>
      <c r="C381" s="97">
        <v>7</v>
      </c>
      <c r="D381" s="97">
        <f t="shared" si="31"/>
        <v>121</v>
      </c>
      <c r="E381" s="97">
        <f t="shared" si="32"/>
        <v>0</v>
      </c>
      <c r="F381" s="97">
        <f t="shared" si="33"/>
        <v>-480527300</v>
      </c>
      <c r="G381" s="97"/>
    </row>
    <row r="382" spans="1:11">
      <c r="A382" s="97" t="s">
        <v>5399</v>
      </c>
      <c r="B382" s="111">
        <v>-2472422</v>
      </c>
      <c r="C382" s="97">
        <v>2</v>
      </c>
      <c r="D382" s="97">
        <f t="shared" si="31"/>
        <v>114</v>
      </c>
      <c r="E382" s="97">
        <f t="shared" si="32"/>
        <v>0</v>
      </c>
      <c r="F382" s="97">
        <f t="shared" si="33"/>
        <v>-281856108</v>
      </c>
      <c r="G382" s="97"/>
    </row>
    <row r="383" spans="1:11">
      <c r="A383" s="97" t="s">
        <v>5424</v>
      </c>
      <c r="B383" s="111">
        <v>-345000</v>
      </c>
      <c r="C383" s="97">
        <v>1</v>
      </c>
      <c r="D383" s="97">
        <f t="shared" si="31"/>
        <v>112</v>
      </c>
      <c r="E383" s="97">
        <f t="shared" si="32"/>
        <v>0</v>
      </c>
      <c r="F383" s="97">
        <f t="shared" si="33"/>
        <v>-38640000</v>
      </c>
      <c r="G383" s="97"/>
    </row>
    <row r="384" spans="1:11">
      <c r="A384" s="97" t="s">
        <v>5425</v>
      </c>
      <c r="B384" s="111">
        <v>-200000</v>
      </c>
      <c r="C384" s="97">
        <v>10</v>
      </c>
      <c r="D384" s="97">
        <f t="shared" si="31"/>
        <v>111</v>
      </c>
      <c r="E384" s="97">
        <f t="shared" si="32"/>
        <v>1</v>
      </c>
      <c r="F384" s="97">
        <f t="shared" si="33"/>
        <v>-22000000</v>
      </c>
      <c r="G384" s="97"/>
    </row>
    <row r="385" spans="1:10">
      <c r="A385" s="97" t="s">
        <v>5420</v>
      </c>
      <c r="B385" s="111">
        <v>800000</v>
      </c>
      <c r="C385" s="97">
        <v>0</v>
      </c>
      <c r="D385" s="97">
        <f t="shared" si="31"/>
        <v>101</v>
      </c>
      <c r="E385" s="97">
        <f t="shared" si="32"/>
        <v>0</v>
      </c>
      <c r="F385" s="97">
        <f t="shared" si="33"/>
        <v>80800000</v>
      </c>
      <c r="G385" s="97"/>
    </row>
    <row r="386" spans="1:10">
      <c r="A386" s="97" t="s">
        <v>5420</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5426</v>
      </c>
      <c r="B389" s="111">
        <v>8000000</v>
      </c>
      <c r="C389" s="97">
        <v>1</v>
      </c>
      <c r="D389" s="97">
        <f t="shared" si="31"/>
        <v>99</v>
      </c>
      <c r="E389" s="97">
        <f t="shared" si="32"/>
        <v>0</v>
      </c>
      <c r="F389" s="97">
        <f t="shared" si="33"/>
        <v>792000000</v>
      </c>
      <c r="G389" s="97"/>
    </row>
    <row r="390" spans="1:10">
      <c r="A390" s="97" t="s">
        <v>5427</v>
      </c>
      <c r="B390" s="111">
        <v>-10000</v>
      </c>
      <c r="C390" s="97">
        <v>1</v>
      </c>
      <c r="D390" s="97">
        <f t="shared" si="31"/>
        <v>98</v>
      </c>
      <c r="E390" s="97">
        <f t="shared" si="32"/>
        <v>0</v>
      </c>
      <c r="F390" s="97">
        <f t="shared" si="33"/>
        <v>-980000</v>
      </c>
      <c r="G390" s="97"/>
    </row>
    <row r="391" spans="1:10">
      <c r="A391" s="97" t="s">
        <v>5428</v>
      </c>
      <c r="B391" s="111">
        <v>-88000</v>
      </c>
      <c r="C391" s="97">
        <v>1</v>
      </c>
      <c r="D391" s="97">
        <f t="shared" si="31"/>
        <v>97</v>
      </c>
      <c r="E391" s="97">
        <f t="shared" si="32"/>
        <v>0</v>
      </c>
      <c r="F391" s="97">
        <f t="shared" si="33"/>
        <v>-8536000</v>
      </c>
      <c r="G391" s="97"/>
    </row>
    <row r="392" spans="1:10">
      <c r="A392" s="97" t="s">
        <v>5429</v>
      </c>
      <c r="B392" s="111">
        <v>-297675</v>
      </c>
      <c r="C392" s="97">
        <v>3</v>
      </c>
      <c r="D392" s="97">
        <f t="shared" si="31"/>
        <v>96</v>
      </c>
      <c r="E392" s="97">
        <f t="shared" si="32"/>
        <v>0</v>
      </c>
      <c r="F392" s="97">
        <f t="shared" si="33"/>
        <v>-28576800</v>
      </c>
      <c r="G392" s="97"/>
    </row>
    <row r="393" spans="1:10">
      <c r="A393" s="97" t="s">
        <v>5421</v>
      </c>
      <c r="B393" s="111">
        <v>-10114121</v>
      </c>
      <c r="C393" s="97">
        <v>1</v>
      </c>
      <c r="D393" s="97">
        <f t="shared" si="31"/>
        <v>93</v>
      </c>
      <c r="E393" s="97">
        <f t="shared" si="32"/>
        <v>0</v>
      </c>
      <c r="F393" s="97">
        <f t="shared" si="33"/>
        <v>-940613253</v>
      </c>
      <c r="G393" s="97"/>
    </row>
    <row r="394" spans="1:10">
      <c r="A394" s="97" t="s">
        <v>5422</v>
      </c>
      <c r="B394" s="111">
        <v>-9000000</v>
      </c>
      <c r="C394" s="97">
        <v>1</v>
      </c>
      <c r="D394" s="97">
        <f t="shared" si="31"/>
        <v>92</v>
      </c>
      <c r="E394" s="97">
        <f t="shared" si="32"/>
        <v>0</v>
      </c>
      <c r="F394" s="97">
        <f t="shared" si="33"/>
        <v>-828000000</v>
      </c>
      <c r="G394" s="97"/>
      <c r="J394" s="112">
        <f>B422-743653+21500</f>
        <v>3919446</v>
      </c>
    </row>
    <row r="395" spans="1:10">
      <c r="A395" s="97" t="s">
        <v>5430</v>
      </c>
      <c r="B395" s="111">
        <v>-83930</v>
      </c>
      <c r="C395" s="97">
        <v>1</v>
      </c>
      <c r="D395" s="97">
        <f t="shared" si="31"/>
        <v>91</v>
      </c>
      <c r="E395" s="97">
        <f t="shared" si="32"/>
        <v>0</v>
      </c>
      <c r="F395" s="97">
        <f t="shared" si="33"/>
        <v>-7637630</v>
      </c>
      <c r="G395" s="97"/>
    </row>
    <row r="396" spans="1:10">
      <c r="A396" s="97" t="s">
        <v>5431</v>
      </c>
      <c r="B396" s="111">
        <v>-19520</v>
      </c>
      <c r="C396" s="97">
        <v>0</v>
      </c>
      <c r="D396" s="97">
        <f t="shared" si="31"/>
        <v>90</v>
      </c>
      <c r="E396" s="97">
        <f t="shared" si="32"/>
        <v>0</v>
      </c>
      <c r="F396" s="97">
        <f t="shared" si="33"/>
        <v>-1756800</v>
      </c>
      <c r="G396" s="97"/>
    </row>
    <row r="397" spans="1:10">
      <c r="A397" s="97" t="s">
        <v>5431</v>
      </c>
      <c r="B397" s="111">
        <v>-676034</v>
      </c>
      <c r="C397" s="97">
        <v>27</v>
      </c>
      <c r="D397" s="97">
        <f t="shared" si="31"/>
        <v>90</v>
      </c>
      <c r="E397" s="97">
        <f t="shared" si="32"/>
        <v>1</v>
      </c>
      <c r="F397" s="97">
        <f t="shared" si="33"/>
        <v>-60167026</v>
      </c>
      <c r="G397" s="97"/>
    </row>
    <row r="398" spans="1:10">
      <c r="A398" s="97" t="s">
        <v>5471</v>
      </c>
      <c r="B398" s="111">
        <v>2200000</v>
      </c>
      <c r="C398" s="97">
        <v>2</v>
      </c>
      <c r="D398" s="97">
        <f t="shared" si="31"/>
        <v>63</v>
      </c>
      <c r="E398" s="97">
        <f t="shared" si="32"/>
        <v>0</v>
      </c>
      <c r="F398" s="97">
        <f t="shared" si="33"/>
        <v>138600000</v>
      </c>
      <c r="G398" s="97"/>
    </row>
    <row r="399" spans="1:10">
      <c r="A399" s="97" t="s">
        <v>5476</v>
      </c>
      <c r="B399" s="111">
        <v>-2000000</v>
      </c>
      <c r="C399" s="97">
        <v>1</v>
      </c>
      <c r="D399" s="97">
        <f t="shared" si="31"/>
        <v>61</v>
      </c>
      <c r="E399" s="97">
        <f t="shared" si="32"/>
        <v>0</v>
      </c>
      <c r="F399" s="97">
        <f t="shared" si="33"/>
        <v>-122000000</v>
      </c>
      <c r="G399" s="97"/>
    </row>
    <row r="400" spans="1:10">
      <c r="A400" s="97" t="s">
        <v>5478</v>
      </c>
      <c r="B400" s="111">
        <v>-28400</v>
      </c>
      <c r="C400" s="97">
        <v>1</v>
      </c>
      <c r="D400" s="97">
        <f t="shared" si="31"/>
        <v>60</v>
      </c>
      <c r="E400" s="97">
        <f t="shared" si="32"/>
        <v>0</v>
      </c>
      <c r="F400" s="97">
        <f t="shared" si="33"/>
        <v>-1704000</v>
      </c>
      <c r="G400" s="97"/>
    </row>
    <row r="401" spans="1:15">
      <c r="A401" s="97" t="s">
        <v>5480</v>
      </c>
      <c r="B401" s="111">
        <v>-126475</v>
      </c>
      <c r="C401" s="97">
        <v>1</v>
      </c>
      <c r="D401" s="97">
        <f t="shared" si="31"/>
        <v>59</v>
      </c>
      <c r="E401" s="97">
        <f t="shared" si="32"/>
        <v>0</v>
      </c>
      <c r="F401" s="97">
        <f t="shared" si="33"/>
        <v>-7462025</v>
      </c>
      <c r="G401" s="97"/>
    </row>
    <row r="402" spans="1:15">
      <c r="A402" s="97" t="s">
        <v>5479</v>
      </c>
      <c r="B402" s="111">
        <v>-32807</v>
      </c>
      <c r="C402" s="97">
        <v>4</v>
      </c>
      <c r="D402" s="97">
        <f t="shared" si="31"/>
        <v>58</v>
      </c>
      <c r="E402" s="97">
        <f t="shared" si="32"/>
        <v>0</v>
      </c>
      <c r="F402" s="97">
        <f t="shared" si="33"/>
        <v>-1902806</v>
      </c>
      <c r="G402" s="97"/>
    </row>
    <row r="403" spans="1:15">
      <c r="A403" s="97" t="s">
        <v>5484</v>
      </c>
      <c r="B403" s="111">
        <v>-11700</v>
      </c>
      <c r="C403" s="97">
        <v>7</v>
      </c>
      <c r="D403" s="97">
        <f t="shared" si="31"/>
        <v>54</v>
      </c>
      <c r="E403" s="97">
        <f t="shared" si="32"/>
        <v>1</v>
      </c>
      <c r="F403" s="97">
        <f t="shared" si="33"/>
        <v>-620100</v>
      </c>
      <c r="G403" s="97"/>
    </row>
    <row r="404" spans="1:15">
      <c r="A404" s="97" t="s">
        <v>5494</v>
      </c>
      <c r="B404" s="111">
        <v>5032773</v>
      </c>
      <c r="C404" s="97">
        <v>0</v>
      </c>
      <c r="D404" s="97">
        <f t="shared" si="31"/>
        <v>47</v>
      </c>
      <c r="E404" s="97">
        <f t="shared" si="32"/>
        <v>0</v>
      </c>
      <c r="F404" s="97">
        <f t="shared" si="33"/>
        <v>236540331</v>
      </c>
      <c r="G404" s="97"/>
    </row>
    <row r="405" spans="1:15">
      <c r="A405" s="97" t="s">
        <v>5494</v>
      </c>
      <c r="B405" s="111">
        <v>-5000000</v>
      </c>
      <c r="C405" s="97">
        <v>13</v>
      </c>
      <c r="D405" s="97">
        <f t="shared" si="31"/>
        <v>47</v>
      </c>
      <c r="E405" s="97">
        <f t="shared" si="32"/>
        <v>1</v>
      </c>
      <c r="F405" s="97">
        <f t="shared" si="33"/>
        <v>-230000000</v>
      </c>
      <c r="G405" s="97"/>
    </row>
    <row r="406" spans="1:15">
      <c r="A406" s="97" t="s">
        <v>5531</v>
      </c>
      <c r="B406" s="111">
        <v>1200000</v>
      </c>
      <c r="C406" s="97">
        <v>1</v>
      </c>
      <c r="D406" s="97">
        <f t="shared" si="31"/>
        <v>34</v>
      </c>
      <c r="E406" s="97">
        <f t="shared" si="32"/>
        <v>0</v>
      </c>
      <c r="F406" s="97">
        <f t="shared" si="33"/>
        <v>40800000</v>
      </c>
      <c r="G406" s="97"/>
    </row>
    <row r="407" spans="1:15">
      <c r="A407" s="97" t="s">
        <v>5512</v>
      </c>
      <c r="B407" s="111">
        <v>-1200000</v>
      </c>
      <c r="C407" s="97">
        <v>0</v>
      </c>
      <c r="D407" s="97">
        <f t="shared" si="31"/>
        <v>33</v>
      </c>
      <c r="E407" s="97">
        <f t="shared" si="32"/>
        <v>0</v>
      </c>
      <c r="F407" s="97">
        <f t="shared" si="33"/>
        <v>-39600000</v>
      </c>
      <c r="G407" s="97"/>
      <c r="O407" t="s">
        <v>25</v>
      </c>
    </row>
    <row r="408" spans="1:15">
      <c r="A408" s="97" t="s">
        <v>5512</v>
      </c>
      <c r="B408" s="111">
        <v>-784</v>
      </c>
      <c r="C408" s="97">
        <v>1</v>
      </c>
      <c r="D408" s="97">
        <f t="shared" si="31"/>
        <v>33</v>
      </c>
      <c r="E408" s="97">
        <f t="shared" si="32"/>
        <v>0</v>
      </c>
      <c r="F408" s="97">
        <f t="shared" si="33"/>
        <v>-25872</v>
      </c>
      <c r="G408" s="97" t="s">
        <v>5532</v>
      </c>
    </row>
    <row r="409" spans="1:15">
      <c r="A409" s="97" t="s">
        <v>5577</v>
      </c>
      <c r="B409" s="111">
        <v>-37927</v>
      </c>
      <c r="C409" s="97">
        <v>30</v>
      </c>
      <c r="D409" s="97">
        <f t="shared" si="31"/>
        <v>32</v>
      </c>
      <c r="E409" s="97">
        <f t="shared" si="32"/>
        <v>1</v>
      </c>
      <c r="F409" s="97">
        <f t="shared" si="33"/>
        <v>-1175737</v>
      </c>
      <c r="G409" s="97"/>
    </row>
    <row r="410" spans="1:15">
      <c r="A410" s="97" t="s">
        <v>5579</v>
      </c>
      <c r="B410" s="111">
        <v>5000000</v>
      </c>
      <c r="C410" s="97">
        <v>0</v>
      </c>
      <c r="D410" s="97">
        <f t="shared" si="31"/>
        <v>2</v>
      </c>
      <c r="E410" s="97">
        <f t="shared" si="32"/>
        <v>0</v>
      </c>
      <c r="F410" s="97">
        <f t="shared" si="33"/>
        <v>10000000</v>
      </c>
      <c r="G410" s="97"/>
    </row>
    <row r="411" spans="1:15">
      <c r="A411" s="97" t="s">
        <v>5579</v>
      </c>
      <c r="B411" s="111">
        <v>-1620700</v>
      </c>
      <c r="C411" s="97">
        <v>1</v>
      </c>
      <c r="D411" s="97">
        <f t="shared" si="31"/>
        <v>2</v>
      </c>
      <c r="E411" s="97">
        <f t="shared" si="32"/>
        <v>1</v>
      </c>
      <c r="F411" s="97">
        <f t="shared" si="33"/>
        <v>-1620700</v>
      </c>
      <c r="G411" s="97"/>
    </row>
    <row r="412" spans="1:15">
      <c r="A412" s="97" t="s">
        <v>5581</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73"/>
  <sheetViews>
    <sheetView tabSelected="1" topLeftCell="J28" zoomScale="85" zoomScaleNormal="85" workbookViewId="0">
      <selection activeCell="L41" sqref="L4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2595</v>
      </c>
      <c r="O20" s="97" t="s">
        <v>922</v>
      </c>
      <c r="P20" s="97" t="s">
        <v>3913</v>
      </c>
      <c r="Q20" s="167">
        <v>9268987</v>
      </c>
      <c r="R20" s="166" t="s">
        <v>4154</v>
      </c>
      <c r="S20" s="189">
        <f>S103</f>
        <v>739</v>
      </c>
      <c r="T20" s="166" t="s">
        <v>4285</v>
      </c>
      <c r="U20" s="166">
        <v>192.1</v>
      </c>
      <c r="V20" s="166">
        <f t="shared" ref="V20:V62" si="6">U20*(1+$R$99+$Q$15*S20/36500)</f>
        <v>303.92219945205477</v>
      </c>
      <c r="W20" s="32">
        <f t="shared" ref="W20:W26" si="7">V20*(1+$W$19/100)</f>
        <v>310.00064344109586</v>
      </c>
      <c r="X20" s="32">
        <f t="shared" ref="X20:X26" si="8">V20*(1+$X$19/100)</f>
        <v>316.07908743013695</v>
      </c>
      <c r="Y20" s="113">
        <v>48028</v>
      </c>
      <c r="Z20" s="113"/>
      <c r="AH20" s="97">
        <v>1</v>
      </c>
      <c r="AI20" s="111" t="s">
        <v>1092</v>
      </c>
      <c r="AJ20" s="111">
        <v>18000000</v>
      </c>
      <c r="AK20" s="97">
        <v>1</v>
      </c>
      <c r="AL20" s="97">
        <f>AL21+AK20</f>
        <v>900</v>
      </c>
      <c r="AM20" s="111">
        <f>AJ20*AL20</f>
        <v>16200000000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-N31</f>
        <v>4981592899.172226</v>
      </c>
      <c r="M21" s="166" t="s">
        <v>4277</v>
      </c>
      <c r="N21" s="111">
        <f>O21*P21</f>
        <v>1780603110</v>
      </c>
      <c r="O21" s="97">
        <v>1383530</v>
      </c>
      <c r="P21" s="183">
        <f>P45</f>
        <v>1287</v>
      </c>
      <c r="Q21" s="167">
        <v>1353959</v>
      </c>
      <c r="R21" s="166" t="s">
        <v>4393</v>
      </c>
      <c r="S21" s="196">
        <f>S20-59</f>
        <v>680</v>
      </c>
      <c r="T21" s="19" t="s">
        <v>4430</v>
      </c>
      <c r="U21" s="166">
        <v>192.2</v>
      </c>
      <c r="V21" s="166">
        <f t="shared" si="6"/>
        <v>295.38138520547943</v>
      </c>
      <c r="W21" s="32">
        <f t="shared" si="7"/>
        <v>301.28901290958902</v>
      </c>
      <c r="X21" s="32">
        <f t="shared" si="8"/>
        <v>307.19664061369861</v>
      </c>
      <c r="Y21" s="113">
        <v>7012</v>
      </c>
      <c r="Z21" s="113"/>
      <c r="AH21" s="97">
        <v>2</v>
      </c>
      <c r="AI21" s="111" t="s">
        <v>1094</v>
      </c>
      <c r="AJ21" s="111">
        <v>2500000</v>
      </c>
      <c r="AK21" s="97">
        <v>1</v>
      </c>
      <c r="AL21" s="97">
        <f t="shared" ref="AL21:AL63" si="9">AL22+AK21</f>
        <v>899</v>
      </c>
      <c r="AM21" s="111">
        <f t="shared" ref="AM21:AM120" si="10">AJ21*AL21</f>
        <v>2247500000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4363</v>
      </c>
      <c r="N22" s="111">
        <f>O22*P22</f>
        <v>1054820200</v>
      </c>
      <c r="O22" s="97">
        <v>67186</v>
      </c>
      <c r="P22" s="183">
        <f>P44</f>
        <v>15700</v>
      </c>
      <c r="Q22" s="167">
        <v>1614398</v>
      </c>
      <c r="R22" s="166" t="s">
        <v>4399</v>
      </c>
      <c r="S22" s="166">
        <f>S21-3</f>
        <v>677</v>
      </c>
      <c r="T22" s="19" t="s">
        <v>5707</v>
      </c>
      <c r="U22" s="166">
        <v>184.6</v>
      </c>
      <c r="V22" s="166">
        <f t="shared" si="6"/>
        <v>283.2765391780822</v>
      </c>
      <c r="W22" s="32">
        <f t="shared" si="7"/>
        <v>288.94206996164382</v>
      </c>
      <c r="X22" s="32">
        <f t="shared" si="8"/>
        <v>294.6076007452055</v>
      </c>
      <c r="Y22" s="113">
        <v>8705</v>
      </c>
      <c r="Z22" s="113"/>
      <c r="AH22" s="97">
        <v>3</v>
      </c>
      <c r="AI22" s="111" t="s">
        <v>1103</v>
      </c>
      <c r="AJ22" s="111">
        <v>8000000</v>
      </c>
      <c r="AK22" s="97">
        <v>1</v>
      </c>
      <c r="AL22" s="97">
        <f t="shared" si="9"/>
        <v>898</v>
      </c>
      <c r="AM22" s="111">
        <f t="shared" si="10"/>
        <v>7184000000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4359</v>
      </c>
      <c r="N23" s="111">
        <f>O23*P23</f>
        <v>164827600</v>
      </c>
      <c r="O23" s="97">
        <v>11137</v>
      </c>
      <c r="P23" s="183">
        <f>P43</f>
        <v>14800</v>
      </c>
      <c r="Q23" s="167">
        <v>133576</v>
      </c>
      <c r="R23" s="166" t="s">
        <v>4468</v>
      </c>
      <c r="S23" s="195">
        <f>S22-22</f>
        <v>655</v>
      </c>
      <c r="T23" s="166" t="s">
        <v>4469</v>
      </c>
      <c r="U23" s="166">
        <v>166.2</v>
      </c>
      <c r="V23" s="166">
        <f t="shared" si="6"/>
        <v>252.23604821917809</v>
      </c>
      <c r="W23" s="32">
        <f t="shared" si="7"/>
        <v>257.28076918356163</v>
      </c>
      <c r="X23" s="32">
        <f t="shared" si="8"/>
        <v>262.32549014794523</v>
      </c>
      <c r="Y23" s="120">
        <v>800</v>
      </c>
      <c r="Z23" s="94"/>
      <c r="AH23" s="97">
        <v>4</v>
      </c>
      <c r="AI23" s="111" t="s">
        <v>4038</v>
      </c>
      <c r="AJ23" s="111">
        <v>-79552</v>
      </c>
      <c r="AK23" s="97">
        <v>1</v>
      </c>
      <c r="AL23" s="97">
        <f t="shared" si="9"/>
        <v>897</v>
      </c>
      <c r="AM23" s="111">
        <f t="shared" si="10"/>
        <v>-71358144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5146654335.172226</v>
      </c>
      <c r="G24" s="93">
        <f t="shared" si="0"/>
        <v>-4866347989.790287</v>
      </c>
      <c r="H24" s="11"/>
      <c r="I24" s="94"/>
      <c r="J24" s="94"/>
      <c r="K24" s="166" t="s">
        <v>4428</v>
      </c>
      <c r="L24" s="115">
        <f>-'فروردین 98'!D157</f>
        <v>-6177586</v>
      </c>
      <c r="M24" s="166"/>
      <c r="N24" s="111"/>
      <c r="O24" s="67"/>
      <c r="P24" s="97"/>
      <c r="Q24" s="167">
        <v>220803</v>
      </c>
      <c r="R24" s="166" t="s">
        <v>4209</v>
      </c>
      <c r="S24" s="195">
        <f>S23-1</f>
        <v>654</v>
      </c>
      <c r="T24" s="166" t="s">
        <v>4475</v>
      </c>
      <c r="U24" s="166">
        <v>166</v>
      </c>
      <c r="V24" s="166">
        <f t="shared" si="6"/>
        <v>251.80517260273976</v>
      </c>
      <c r="W24" s="32">
        <f t="shared" si="7"/>
        <v>256.84127605479455</v>
      </c>
      <c r="X24" s="32">
        <f t="shared" si="8"/>
        <v>261.87737950684937</v>
      </c>
      <c r="Y24" s="120">
        <v>1326</v>
      </c>
      <c r="Z24" s="94"/>
      <c r="AH24" s="97">
        <v>5</v>
      </c>
      <c r="AI24" s="111" t="s">
        <v>1115</v>
      </c>
      <c r="AJ24" s="111">
        <v>165500</v>
      </c>
      <c r="AK24" s="97">
        <v>12</v>
      </c>
      <c r="AL24" s="97">
        <f t="shared" si="9"/>
        <v>896</v>
      </c>
      <c r="AM24" s="111">
        <f t="shared" si="10"/>
        <v>148288000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4420</v>
      </c>
      <c r="N25" s="111">
        <v>32509</v>
      </c>
      <c r="O25" s="266"/>
      <c r="P25" s="97" t="s">
        <v>25</v>
      </c>
      <c r="Q25" s="167">
        <v>1023940</v>
      </c>
      <c r="R25" s="166" t="s">
        <v>4476</v>
      </c>
      <c r="S25" s="195">
        <f>S24-2</f>
        <v>652</v>
      </c>
      <c r="T25" s="166" t="s">
        <v>4482</v>
      </c>
      <c r="U25" s="166">
        <v>160.19999999999999</v>
      </c>
      <c r="V25" s="166">
        <f t="shared" si="6"/>
        <v>242.76137424657534</v>
      </c>
      <c r="W25" s="32">
        <f t="shared" si="7"/>
        <v>247.61660173150685</v>
      </c>
      <c r="X25" s="32">
        <f t="shared" si="8"/>
        <v>252.47182921643838</v>
      </c>
      <c r="Y25" s="120">
        <v>6362</v>
      </c>
      <c r="Z25" s="94" t="s">
        <v>25</v>
      </c>
      <c r="AH25" s="97">
        <v>6</v>
      </c>
      <c r="AI25" s="111" t="s">
        <v>1140</v>
      </c>
      <c r="AJ25" s="111">
        <v>-28830327</v>
      </c>
      <c r="AK25" s="97">
        <v>6</v>
      </c>
      <c r="AL25" s="97">
        <f t="shared" si="9"/>
        <v>884</v>
      </c>
      <c r="AM25" s="111">
        <f t="shared" si="10"/>
        <v>-25486009068</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4363</v>
      </c>
      <c r="N26" s="111">
        <f>O26*P26</f>
        <v>60633400</v>
      </c>
      <c r="O26" s="67">
        <v>3862</v>
      </c>
      <c r="P26" s="97">
        <f>P44</f>
        <v>15700</v>
      </c>
      <c r="Q26" s="167">
        <v>168846</v>
      </c>
      <c r="R26" s="166" t="s">
        <v>3675</v>
      </c>
      <c r="S26" s="195">
        <f>S25-28</f>
        <v>624</v>
      </c>
      <c r="T26" s="166" t="s">
        <v>4560</v>
      </c>
      <c r="U26" s="166">
        <v>172.2</v>
      </c>
      <c r="V26" s="166">
        <f t="shared" si="6"/>
        <v>257.24698520547946</v>
      </c>
      <c r="W26" s="32">
        <f t="shared" si="7"/>
        <v>262.39192490958908</v>
      </c>
      <c r="X26" s="32">
        <f t="shared" si="8"/>
        <v>267.53686461369864</v>
      </c>
      <c r="Y26" s="120">
        <v>976</v>
      </c>
      <c r="Z26" s="94"/>
      <c r="AH26" s="97">
        <v>7</v>
      </c>
      <c r="AI26" s="111" t="s">
        <v>1165</v>
      </c>
      <c r="AJ26" s="111">
        <v>18500000</v>
      </c>
      <c r="AK26" s="97">
        <v>1</v>
      </c>
      <c r="AL26" s="97">
        <f t="shared" si="9"/>
        <v>878</v>
      </c>
      <c r="AM26" s="111">
        <f t="shared" si="10"/>
        <v>16243000000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4359</v>
      </c>
      <c r="N27" s="111">
        <f>O27*P27</f>
        <v>9620000</v>
      </c>
      <c r="O27" s="67">
        <v>650</v>
      </c>
      <c r="P27" s="97">
        <f>P43</f>
        <v>14800</v>
      </c>
      <c r="Q27" s="167">
        <v>1563192</v>
      </c>
      <c r="R27" s="210" t="s">
        <v>4659</v>
      </c>
      <c r="S27" s="195">
        <f>S26-33</f>
        <v>591</v>
      </c>
      <c r="T27" s="210" t="s">
        <v>4660</v>
      </c>
      <c r="U27" s="210">
        <v>168.8</v>
      </c>
      <c r="V27" s="210">
        <f t="shared" si="6"/>
        <v>247.89459287671235</v>
      </c>
      <c r="W27" s="32">
        <f t="shared" ref="W27:W30" si="12">V27*(1+$W$19/100)</f>
        <v>252.85248473424662</v>
      </c>
      <c r="X27" s="32">
        <f t="shared" ref="X27:X30" si="13">V27*(1+$X$19/100)</f>
        <v>257.81037659178088</v>
      </c>
      <c r="Y27" s="120">
        <v>9222</v>
      </c>
      <c r="Z27" s="94"/>
      <c r="AH27" s="97">
        <v>8</v>
      </c>
      <c r="AI27" s="111" t="s">
        <v>1174</v>
      </c>
      <c r="AJ27" s="111">
        <v>-18550000</v>
      </c>
      <c r="AK27" s="97">
        <v>1</v>
      </c>
      <c r="AL27" s="97">
        <f t="shared" si="9"/>
        <v>877</v>
      </c>
      <c r="AM27" s="111">
        <f t="shared" si="10"/>
        <v>-16268350000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4400</v>
      </c>
      <c r="N28" s="111">
        <f>O28*P28</f>
        <v>209344707</v>
      </c>
      <c r="O28" s="67">
        <v>162661</v>
      </c>
      <c r="P28" s="97">
        <f>P45</f>
        <v>1287</v>
      </c>
      <c r="Q28" s="167">
        <v>1204691</v>
      </c>
      <c r="R28" s="210" t="s">
        <v>4876</v>
      </c>
      <c r="S28" s="195">
        <f>S27-76</f>
        <v>515</v>
      </c>
      <c r="T28" s="210" t="s">
        <v>4877</v>
      </c>
      <c r="U28" s="210">
        <v>218.5</v>
      </c>
      <c r="V28" s="210">
        <f t="shared" si="6"/>
        <v>308.14366575342467</v>
      </c>
      <c r="W28" s="32">
        <f t="shared" si="12"/>
        <v>314.30653906849318</v>
      </c>
      <c r="X28" s="32">
        <f t="shared" si="13"/>
        <v>320.46941238356169</v>
      </c>
      <c r="Y28" s="120">
        <v>5488</v>
      </c>
      <c r="Z28" s="94"/>
      <c r="AH28" s="97">
        <v>9</v>
      </c>
      <c r="AI28" s="111" t="s">
        <v>1181</v>
      </c>
      <c r="AJ28" s="111">
        <v>-64961</v>
      </c>
      <c r="AK28" s="97">
        <v>5</v>
      </c>
      <c r="AL28" s="97">
        <f t="shared" si="9"/>
        <v>876</v>
      </c>
      <c r="AM28" s="111">
        <f t="shared" si="10"/>
        <v>-56905836</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4879</v>
      </c>
      <c r="S29" s="195">
        <f>S28-3</f>
        <v>512</v>
      </c>
      <c r="T29" s="210" t="s">
        <v>4883</v>
      </c>
      <c r="U29" s="210">
        <v>197.1</v>
      </c>
      <c r="V29" s="210">
        <f t="shared" si="6"/>
        <v>277.51032000000004</v>
      </c>
      <c r="W29" s="32">
        <f t="shared" si="12"/>
        <v>283.06052640000001</v>
      </c>
      <c r="X29" s="32">
        <f t="shared" si="13"/>
        <v>288.61073280000005</v>
      </c>
      <c r="Y29" s="120">
        <v>75812</v>
      </c>
      <c r="Z29" s="94"/>
      <c r="AH29" s="97">
        <v>10</v>
      </c>
      <c r="AI29" s="111" t="s">
        <v>1197</v>
      </c>
      <c r="AJ29" s="111">
        <v>6400000</v>
      </c>
      <c r="AK29" s="97">
        <v>1</v>
      </c>
      <c r="AL29" s="97">
        <f t="shared" si="9"/>
        <v>871</v>
      </c>
      <c r="AM29" s="111">
        <f t="shared" si="10"/>
        <v>5574400000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4891</v>
      </c>
      <c r="S30" s="195">
        <f>S29-5</f>
        <v>507</v>
      </c>
      <c r="T30" s="210" t="s">
        <v>5671</v>
      </c>
      <c r="U30" s="210">
        <v>194.4</v>
      </c>
      <c r="V30" s="210">
        <f t="shared" si="6"/>
        <v>272.96316493150687</v>
      </c>
      <c r="W30" s="32">
        <f t="shared" si="12"/>
        <v>278.42242823013703</v>
      </c>
      <c r="X30" s="32">
        <f t="shared" si="13"/>
        <v>283.88169152876713</v>
      </c>
      <c r="Y30" s="120">
        <v>36073</v>
      </c>
      <c r="Z30" s="94"/>
      <c r="AH30" s="97">
        <v>11</v>
      </c>
      <c r="AI30" s="111" t="s">
        <v>4039</v>
      </c>
      <c r="AJ30" s="111">
        <v>-170000</v>
      </c>
      <c r="AK30" s="97">
        <v>5</v>
      </c>
      <c r="AL30" s="97">
        <f t="shared" si="9"/>
        <v>870</v>
      </c>
      <c r="AM30" s="111">
        <f t="shared" si="10"/>
        <v>-147900000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4133</v>
      </c>
      <c r="N31" s="111">
        <f>-W146</f>
        <v>-4981592899.172226</v>
      </c>
      <c r="P31" t="s">
        <v>25</v>
      </c>
      <c r="Q31" s="167">
        <v>1962799</v>
      </c>
      <c r="R31" s="210" t="s">
        <v>5184</v>
      </c>
      <c r="S31" s="195">
        <f>S30-167</f>
        <v>340</v>
      </c>
      <c r="T31" s="210" t="s">
        <v>5206</v>
      </c>
      <c r="U31" s="210">
        <v>6513.1</v>
      </c>
      <c r="V31" s="210">
        <f t="shared" si="6"/>
        <v>8310.858352876714</v>
      </c>
      <c r="W31" s="32">
        <f>V31*(1+$W$19/100)</f>
        <v>8477.0755199342493</v>
      </c>
      <c r="X31" s="32">
        <f>V31*(1+$X$19/100)</f>
        <v>8643.2926869917828</v>
      </c>
      <c r="Y31" s="94"/>
      <c r="Z31" s="94">
        <v>300</v>
      </c>
      <c r="AH31" s="97">
        <v>12</v>
      </c>
      <c r="AI31" s="111" t="s">
        <v>1217</v>
      </c>
      <c r="AJ31" s="111">
        <v>-6300000</v>
      </c>
      <c r="AK31" s="97">
        <v>1</v>
      </c>
      <c r="AL31" s="97">
        <f>AL32+AK31</f>
        <v>865</v>
      </c>
      <c r="AM31" s="111">
        <f t="shared" si="10"/>
        <v>-5449500000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5440</v>
      </c>
      <c r="S32" s="195">
        <f>S31-156</f>
        <v>184</v>
      </c>
      <c r="T32" s="210" t="s">
        <v>5441</v>
      </c>
      <c r="U32" s="210">
        <v>7121.4</v>
      </c>
      <c r="V32" s="210">
        <f t="shared" si="6"/>
        <v>8234.835767671233</v>
      </c>
      <c r="W32" s="32">
        <f>V32*(1+$W$19/100)</f>
        <v>8399.5324830246573</v>
      </c>
      <c r="X32" s="32">
        <f>V32*(1+$X$19/100)</f>
        <v>8564.2291983780833</v>
      </c>
      <c r="Y32" s="94"/>
      <c r="Z32" s="94">
        <v>2292</v>
      </c>
      <c r="AH32" s="97">
        <v>13</v>
      </c>
      <c r="AI32" s="111" t="s">
        <v>1226</v>
      </c>
      <c r="AJ32" s="111">
        <v>-52015</v>
      </c>
      <c r="AK32" s="97">
        <v>16</v>
      </c>
      <c r="AL32" s="97">
        <f t="shared" si="9"/>
        <v>864</v>
      </c>
      <c r="AM32" s="111">
        <f t="shared" si="10"/>
        <v>-44940960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5446</v>
      </c>
      <c r="S33" s="195">
        <f>S32-8</f>
        <v>176</v>
      </c>
      <c r="T33" s="210" t="s">
        <v>5447</v>
      </c>
      <c r="U33" s="210">
        <v>7581.3</v>
      </c>
      <c r="V33" s="210">
        <f t="shared" si="6"/>
        <v>8720.1151134246575</v>
      </c>
      <c r="W33" s="32">
        <f>V33*(1+$W$19/100)</f>
        <v>8894.5174156931516</v>
      </c>
      <c r="X33" s="32">
        <f>V33*(1+$X$19/100)</f>
        <v>9068.919717961644</v>
      </c>
      <c r="Y33" s="94"/>
      <c r="Z33" s="94">
        <v>3098</v>
      </c>
      <c r="AH33" s="97">
        <v>14</v>
      </c>
      <c r="AI33" s="111" t="s">
        <v>3692</v>
      </c>
      <c r="AJ33" s="111">
        <v>20017400</v>
      </c>
      <c r="AK33" s="97">
        <v>0</v>
      </c>
      <c r="AL33" s="97">
        <f t="shared" si="9"/>
        <v>848</v>
      </c>
      <c r="AM33" s="111">
        <f t="shared" si="10"/>
        <v>16974755200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4942</v>
      </c>
      <c r="L34" s="115">
        <v>-47500000</v>
      </c>
      <c r="M34" s="71"/>
      <c r="N34" s="111"/>
      <c r="P34" t="s">
        <v>25</v>
      </c>
      <c r="Q34" s="167">
        <v>2990679</v>
      </c>
      <c r="R34" s="210" t="s">
        <v>5448</v>
      </c>
      <c r="S34" s="195">
        <f>S33-1</f>
        <v>175</v>
      </c>
      <c r="T34" s="210" t="s">
        <v>5449</v>
      </c>
      <c r="U34" s="210">
        <v>7614.2</v>
      </c>
      <c r="V34" s="210">
        <f t="shared" si="6"/>
        <v>8752.1161139726028</v>
      </c>
      <c r="W34" s="32">
        <f>V34*(1+$W$19/100)</f>
        <v>8927.1584362520553</v>
      </c>
      <c r="X34" s="32">
        <f>V34*(1+$X$19/100)</f>
        <v>9102.2007585315077</v>
      </c>
      <c r="Y34" s="94"/>
      <c r="Z34" s="94">
        <v>391</v>
      </c>
      <c r="AH34" s="97">
        <v>15</v>
      </c>
      <c r="AI34" s="111" t="s">
        <v>3692</v>
      </c>
      <c r="AJ34" s="111">
        <v>1014466</v>
      </c>
      <c r="AK34" s="97">
        <v>12</v>
      </c>
      <c r="AL34" s="97">
        <f t="shared" si="9"/>
        <v>848</v>
      </c>
      <c r="AM34" s="111">
        <f t="shared" si="10"/>
        <v>860267168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5451</v>
      </c>
      <c r="S35" s="195">
        <f>S34-4</f>
        <v>171</v>
      </c>
      <c r="T35" s="210" t="s">
        <v>5452</v>
      </c>
      <c r="U35" s="210">
        <v>8488</v>
      </c>
      <c r="V35" s="210">
        <f t="shared" si="6"/>
        <v>9730.4571616438352</v>
      </c>
      <c r="W35" s="32">
        <f>V35*(1+$W$19/100)</f>
        <v>9925.0663048767128</v>
      </c>
      <c r="X35" s="32">
        <f>V35*(1+$X$19/100)</f>
        <v>10119.675448109589</v>
      </c>
      <c r="Y35" s="94" t="s">
        <v>25</v>
      </c>
      <c r="Z35" s="94">
        <v>65</v>
      </c>
      <c r="AH35" s="97">
        <v>16</v>
      </c>
      <c r="AI35" s="111" t="s">
        <v>1128</v>
      </c>
      <c r="AJ35" s="111">
        <v>360000</v>
      </c>
      <c r="AK35" s="97">
        <v>2</v>
      </c>
      <c r="AL35" s="97">
        <f t="shared" si="9"/>
        <v>836</v>
      </c>
      <c r="AM35" s="111">
        <f t="shared" si="10"/>
        <v>300960000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5389</v>
      </c>
      <c r="N36" s="111">
        <v>-14000000</v>
      </c>
      <c r="O36" t="s">
        <v>25</v>
      </c>
      <c r="P36" t="s">
        <v>25</v>
      </c>
      <c r="Q36" s="167">
        <v>1687767</v>
      </c>
      <c r="R36" s="210" t="s">
        <v>5454</v>
      </c>
      <c r="S36" s="195">
        <f>S35-2</f>
        <v>169</v>
      </c>
      <c r="T36" s="210" t="s">
        <v>5455</v>
      </c>
      <c r="U36" s="210">
        <v>8317.5</v>
      </c>
      <c r="V36" s="210">
        <f t="shared" si="6"/>
        <v>9522.2386027397279</v>
      </c>
      <c r="W36" s="32">
        <f t="shared" ref="W36:W42" si="14">V36*(1+$W$19/100)</f>
        <v>9712.683374794522</v>
      </c>
      <c r="X36" s="32">
        <f t="shared" ref="X36:X42" si="15">V36*(1+$X$19/100)</f>
        <v>9903.128146849318</v>
      </c>
      <c r="Y36" s="94" t="s">
        <v>25</v>
      </c>
      <c r="Z36" s="94">
        <v>202</v>
      </c>
      <c r="AH36" s="97">
        <v>17</v>
      </c>
      <c r="AI36" s="111" t="s">
        <v>3752</v>
      </c>
      <c r="AJ36" s="111">
        <v>-350000</v>
      </c>
      <c r="AK36" s="97">
        <v>0</v>
      </c>
      <c r="AL36" s="97">
        <f t="shared" si="9"/>
        <v>834</v>
      </c>
      <c r="AM36" s="111">
        <f t="shared" si="10"/>
        <v>-291900000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4941</v>
      </c>
      <c r="N37" s="111">
        <v>-47000000</v>
      </c>
      <c r="O37" s="293"/>
      <c r="P37" s="94" t="s">
        <v>25</v>
      </c>
      <c r="Q37" s="167">
        <v>29256748</v>
      </c>
      <c r="R37" s="210" t="s">
        <v>5456</v>
      </c>
      <c r="S37" s="195">
        <f>S36-1</f>
        <v>168</v>
      </c>
      <c r="T37" s="210" t="s">
        <v>5458</v>
      </c>
      <c r="U37" s="210">
        <v>8338</v>
      </c>
      <c r="V37" s="210">
        <f t="shared" si="6"/>
        <v>9539.311627397261</v>
      </c>
      <c r="W37" s="32">
        <f t="shared" si="14"/>
        <v>9730.0978599452064</v>
      </c>
      <c r="X37" s="32">
        <f t="shared" si="15"/>
        <v>9920.8840924931519</v>
      </c>
      <c r="Y37" s="94" t="s">
        <v>25</v>
      </c>
      <c r="Z37" s="94">
        <v>3493</v>
      </c>
      <c r="AH37" s="97">
        <v>18</v>
      </c>
      <c r="AI37" s="111" t="s">
        <v>3752</v>
      </c>
      <c r="AJ37" s="111">
        <v>1000</v>
      </c>
      <c r="AK37" s="97">
        <v>1</v>
      </c>
      <c r="AL37" s="97">
        <f t="shared" si="9"/>
        <v>834</v>
      </c>
      <c r="AM37" s="111">
        <f t="shared" si="10"/>
        <v>834000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5462</v>
      </c>
      <c r="S38" s="195">
        <f>S37-3</f>
        <v>165</v>
      </c>
      <c r="T38" s="210" t="s">
        <v>5463</v>
      </c>
      <c r="U38" s="210">
        <v>8740</v>
      </c>
      <c r="V38" s="210">
        <f t="shared" si="6"/>
        <v>9979.1164931506864</v>
      </c>
      <c r="W38" s="32">
        <f t="shared" si="14"/>
        <v>10178.698823013699</v>
      </c>
      <c r="X38" s="32">
        <f t="shared" si="15"/>
        <v>10378.281152876714</v>
      </c>
      <c r="Y38" s="94" t="s">
        <v>25</v>
      </c>
      <c r="Z38" s="94">
        <v>5613</v>
      </c>
      <c r="AH38" s="97">
        <v>19</v>
      </c>
      <c r="AI38" s="111" t="s">
        <v>3756</v>
      </c>
      <c r="AJ38" s="111">
        <v>33610000</v>
      </c>
      <c r="AK38" s="97">
        <v>4</v>
      </c>
      <c r="AL38" s="97">
        <f t="shared" si="9"/>
        <v>833</v>
      </c>
      <c r="AM38" s="111">
        <f t="shared" si="10"/>
        <v>27997130000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4419</v>
      </c>
      <c r="N39" s="111">
        <v>303</v>
      </c>
      <c r="O39" s="112"/>
      <c r="P39" t="s">
        <v>25</v>
      </c>
      <c r="Q39" s="167">
        <v>3602822</v>
      </c>
      <c r="R39" s="210" t="s">
        <v>5465</v>
      </c>
      <c r="S39" s="195">
        <f>S38-1</f>
        <v>164</v>
      </c>
      <c r="T39" s="210" t="s">
        <v>5466</v>
      </c>
      <c r="U39" s="210">
        <v>8966.4</v>
      </c>
      <c r="V39" s="210">
        <f t="shared" si="6"/>
        <v>10230.736096438357</v>
      </c>
      <c r="W39" s="32">
        <f t="shared" si="14"/>
        <v>10435.350818367124</v>
      </c>
      <c r="X39" s="32">
        <f t="shared" si="15"/>
        <v>10639.965540295892</v>
      </c>
      <c r="Y39" s="94"/>
      <c r="Z39" s="94">
        <v>400</v>
      </c>
      <c r="AA39" s="94"/>
      <c r="AB39" s="94"/>
      <c r="AC39" s="94"/>
      <c r="AD39" s="94"/>
      <c r="AH39" s="97">
        <v>20</v>
      </c>
      <c r="AI39" s="111" t="s">
        <v>4040</v>
      </c>
      <c r="AJ39" s="111">
        <v>-15600000</v>
      </c>
      <c r="AK39" s="97">
        <v>3</v>
      </c>
      <c r="AL39" s="97">
        <f t="shared" si="9"/>
        <v>829</v>
      </c>
      <c r="AM39" s="111">
        <f t="shared" si="10"/>
        <v>-12932400000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5738</v>
      </c>
      <c r="L40" s="115">
        <v>-80100000</v>
      </c>
      <c r="M40" s="166"/>
      <c r="N40" s="111"/>
      <c r="O40" s="97"/>
      <c r="P40" s="97"/>
      <c r="Q40" s="167">
        <v>7413007</v>
      </c>
      <c r="R40" s="210" t="s">
        <v>5476</v>
      </c>
      <c r="S40" s="195">
        <f>S39-6</f>
        <v>158</v>
      </c>
      <c r="T40" s="210" t="s">
        <v>5477</v>
      </c>
      <c r="U40" s="210">
        <v>9110.5</v>
      </c>
      <c r="V40" s="210">
        <f t="shared" si="6"/>
        <v>10353.222120547945</v>
      </c>
      <c r="W40" s="32">
        <f t="shared" si="14"/>
        <v>10560.286562958905</v>
      </c>
      <c r="X40" s="32">
        <f t="shared" si="15"/>
        <v>10767.351005369863</v>
      </c>
      <c r="Y40" s="94" t="s">
        <v>25</v>
      </c>
      <c r="Z40" s="94">
        <v>810</v>
      </c>
      <c r="AA40" s="94"/>
      <c r="AB40" s="94"/>
      <c r="AC40" s="94"/>
      <c r="AD40" s="94"/>
      <c r="AH40" s="97">
        <v>21</v>
      </c>
      <c r="AI40" s="111" t="s">
        <v>3770</v>
      </c>
      <c r="AJ40" s="111">
        <v>7500000</v>
      </c>
      <c r="AK40" s="97">
        <v>4</v>
      </c>
      <c r="AL40" s="97">
        <f t="shared" si="9"/>
        <v>826</v>
      </c>
      <c r="AM40" s="111">
        <f t="shared" si="10"/>
        <v>6195000000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5496</v>
      </c>
      <c r="L41" s="115">
        <v>-35425716</v>
      </c>
      <c r="M41" s="21" t="s">
        <v>5553</v>
      </c>
      <c r="N41" s="115">
        <f>O41*P41</f>
        <v>44446700</v>
      </c>
      <c r="O41" s="67">
        <v>2831</v>
      </c>
      <c r="P41" s="67">
        <f>P44</f>
        <v>15700</v>
      </c>
      <c r="Q41" s="167">
        <v>64446280</v>
      </c>
      <c r="R41" s="210" t="s">
        <v>5479</v>
      </c>
      <c r="S41" s="195">
        <f>S40-3</f>
        <v>155</v>
      </c>
      <c r="T41" s="210" t="s">
        <v>5482</v>
      </c>
      <c r="U41" s="210">
        <v>10302</v>
      </c>
      <c r="V41" s="210">
        <f t="shared" si="6"/>
        <v>11683.540536986302</v>
      </c>
      <c r="W41" s="32">
        <f t="shared" si="14"/>
        <v>11917.211347726028</v>
      </c>
      <c r="X41" s="32">
        <f t="shared" si="15"/>
        <v>12150.882158465754</v>
      </c>
      <c r="Y41" s="94"/>
      <c r="Z41" s="94">
        <v>6227</v>
      </c>
      <c r="AA41" s="94"/>
      <c r="AB41" s="94"/>
      <c r="AC41" s="94"/>
      <c r="AD41" s="94"/>
      <c r="AH41" s="97">
        <v>22</v>
      </c>
      <c r="AI41" s="111" t="s">
        <v>4041</v>
      </c>
      <c r="AJ41" s="111">
        <v>-98000</v>
      </c>
      <c r="AK41" s="97">
        <v>1</v>
      </c>
      <c r="AL41" s="97">
        <f t="shared" si="9"/>
        <v>822</v>
      </c>
      <c r="AM41" s="111">
        <f t="shared" si="10"/>
        <v>-80556000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5661</v>
      </c>
      <c r="L42" s="115">
        <f>N41</f>
        <v>44446700</v>
      </c>
      <c r="M42" s="21" t="s">
        <v>5273</v>
      </c>
      <c r="N42" s="115">
        <f t="shared" ref="N42:N48" si="16">O42*P42</f>
        <v>0</v>
      </c>
      <c r="O42" s="67">
        <v>0</v>
      </c>
      <c r="P42" s="67">
        <v>91000</v>
      </c>
      <c r="Q42" s="167">
        <v>86262245.771123007</v>
      </c>
      <c r="R42" s="210" t="s">
        <v>5341</v>
      </c>
      <c r="S42" s="195">
        <f>S41-6</f>
        <v>149</v>
      </c>
      <c r="T42" s="210" t="s">
        <v>5603</v>
      </c>
      <c r="U42" s="210">
        <v>12513</v>
      </c>
      <c r="V42" s="210">
        <f t="shared" si="6"/>
        <v>14133.450641095893</v>
      </c>
      <c r="W42" s="32">
        <f t="shared" si="14"/>
        <v>14416.119653917811</v>
      </c>
      <c r="X42" s="32">
        <f t="shared" si="15"/>
        <v>14698.788666739729</v>
      </c>
      <c r="Y42" s="113" t="s">
        <v>25</v>
      </c>
      <c r="Z42" s="113">
        <v>8511</v>
      </c>
      <c r="AA42" s="113"/>
      <c r="AB42" s="113"/>
      <c r="AC42" s="113"/>
      <c r="AD42" s="113"/>
      <c r="AE42" s="113"/>
      <c r="AF42" s="113"/>
      <c r="AH42" s="97">
        <v>23</v>
      </c>
      <c r="AI42" s="111" t="s">
        <v>4035</v>
      </c>
      <c r="AJ42" s="111">
        <v>-26000000</v>
      </c>
      <c r="AK42" s="97">
        <v>0</v>
      </c>
      <c r="AL42" s="97">
        <f t="shared" si="9"/>
        <v>821</v>
      </c>
      <c r="AM42" s="111">
        <f t="shared" si="10"/>
        <v>-21346000000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8">
        <f>L41/6850000</f>
        <v>-5.171637372262774</v>
      </c>
      <c r="K43" s="97" t="s">
        <v>5547</v>
      </c>
      <c r="L43" s="115">
        <f>J146</f>
        <v>301098166</v>
      </c>
      <c r="M43" s="19" t="s">
        <v>4359</v>
      </c>
      <c r="N43" s="115">
        <f t="shared" si="16"/>
        <v>202967200</v>
      </c>
      <c r="O43" s="67">
        <v>13714</v>
      </c>
      <c r="P43" s="67">
        <v>14800</v>
      </c>
      <c r="Q43" s="167">
        <v>5334013</v>
      </c>
      <c r="R43" s="210" t="s">
        <v>5626</v>
      </c>
      <c r="S43" s="195">
        <f>S42-72</f>
        <v>77</v>
      </c>
      <c r="T43" s="210" t="s">
        <v>5627</v>
      </c>
      <c r="U43" s="210">
        <v>17466.8</v>
      </c>
      <c r="V43" s="210">
        <f t="shared" si="6"/>
        <v>18764.032916164382</v>
      </c>
      <c r="W43" s="32">
        <f t="shared" ref="W43:W44" si="17">V43*(1+$W$19/100)</f>
        <v>19139.313574487671</v>
      </c>
      <c r="X43" s="32">
        <f t="shared" ref="X43:X44" si="18">V43*(1+$X$19/100)</f>
        <v>19514.59423281096</v>
      </c>
      <c r="Y43" s="120" t="s">
        <v>25</v>
      </c>
      <c r="Z43" s="120">
        <v>304</v>
      </c>
      <c r="AA43" s="113"/>
      <c r="AB43" s="113"/>
      <c r="AC43" s="113"/>
      <c r="AD43" s="113"/>
      <c r="AE43" s="113"/>
      <c r="AF43" s="113"/>
      <c r="AH43" s="97">
        <v>24</v>
      </c>
      <c r="AI43" s="111" t="s">
        <v>4035</v>
      </c>
      <c r="AJ43" s="111">
        <v>25000000</v>
      </c>
      <c r="AK43" s="97">
        <v>1</v>
      </c>
      <c r="AL43" s="97">
        <f t="shared" si="9"/>
        <v>821</v>
      </c>
      <c r="AM43" s="111">
        <f t="shared" si="10"/>
        <v>20525000000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5715</v>
      </c>
      <c r="L44" s="115">
        <f>-747*P48</f>
        <v>-22036500</v>
      </c>
      <c r="M44" s="19" t="s">
        <v>4363</v>
      </c>
      <c r="N44" s="115">
        <f t="shared" si="16"/>
        <v>542356500</v>
      </c>
      <c r="O44" s="67">
        <v>34545</v>
      </c>
      <c r="P44" s="67">
        <v>15700</v>
      </c>
      <c r="Q44" s="167">
        <v>1279078</v>
      </c>
      <c r="R44" s="210" t="s">
        <v>5651</v>
      </c>
      <c r="S44" s="195">
        <f>S43-12</f>
        <v>65</v>
      </c>
      <c r="T44" s="210" t="s">
        <v>5652</v>
      </c>
      <c r="U44" s="210">
        <v>17950</v>
      </c>
      <c r="V44" s="210">
        <f t="shared" si="6"/>
        <v>19117.881095890414</v>
      </c>
      <c r="W44" s="32">
        <f t="shared" si="17"/>
        <v>19500.238717808224</v>
      </c>
      <c r="X44" s="32">
        <f t="shared" si="18"/>
        <v>19882.596339726031</v>
      </c>
      <c r="Y44" s="113" t="s">
        <v>25</v>
      </c>
      <c r="Z44" s="113">
        <v>71</v>
      </c>
      <c r="AA44" s="113"/>
      <c r="AB44" s="113"/>
      <c r="AC44" s="113"/>
      <c r="AD44" s="113" t="s">
        <v>25</v>
      </c>
      <c r="AE44" s="113"/>
      <c r="AF44" s="113"/>
      <c r="AH44" s="97">
        <v>25</v>
      </c>
      <c r="AI44" s="111" t="s">
        <v>4036</v>
      </c>
      <c r="AJ44" s="111">
        <v>110000</v>
      </c>
      <c r="AK44" s="97">
        <v>1</v>
      </c>
      <c r="AL44" s="97">
        <f t="shared" si="9"/>
        <v>820</v>
      </c>
      <c r="AM44" s="111">
        <f t="shared" si="10"/>
        <v>90200000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5601</v>
      </c>
      <c r="L45" s="115"/>
      <c r="M45" s="19" t="s">
        <v>4161</v>
      </c>
      <c r="N45" s="111">
        <f>O45*P45</f>
        <v>4427850141</v>
      </c>
      <c r="O45" s="97">
        <v>3440443</v>
      </c>
      <c r="P45" s="97">
        <v>1287</v>
      </c>
      <c r="Q45" s="167">
        <v>120265335</v>
      </c>
      <c r="R45" s="210" t="s">
        <v>5653</v>
      </c>
      <c r="S45" s="195">
        <f>S44-1</f>
        <v>64</v>
      </c>
      <c r="T45" s="210" t="s">
        <v>5660</v>
      </c>
      <c r="U45" s="210">
        <v>17700.2</v>
      </c>
      <c r="V45" s="210">
        <f t="shared" si="6"/>
        <v>18838.250119452056</v>
      </c>
      <c r="W45" s="32">
        <f t="shared" ref="W45:W46" si="19">V45*(1+$W$19/100)</f>
        <v>19215.015121841097</v>
      </c>
      <c r="X45" s="32">
        <f t="shared" ref="X45:X46" si="20">V45*(1+$X$19/100)</f>
        <v>19591.780124230139</v>
      </c>
      <c r="Y45" s="113" t="s">
        <v>25</v>
      </c>
      <c r="Z45" s="113">
        <v>6770</v>
      </c>
      <c r="AA45" s="113"/>
      <c r="AB45" s="113"/>
      <c r="AC45" s="113" t="s">
        <v>25</v>
      </c>
      <c r="AD45" s="113" t="s">
        <v>25</v>
      </c>
      <c r="AE45" s="113"/>
      <c r="AF45" s="113" t="s">
        <v>25</v>
      </c>
      <c r="AH45" s="97">
        <v>26</v>
      </c>
      <c r="AI45" s="111" t="s">
        <v>3785</v>
      </c>
      <c r="AJ45" s="111">
        <v>380000</v>
      </c>
      <c r="AK45" s="97">
        <v>7</v>
      </c>
      <c r="AL45" s="97">
        <f t="shared" si="9"/>
        <v>819</v>
      </c>
      <c r="AM45" s="111">
        <f t="shared" si="10"/>
        <v>311220000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5628</v>
      </c>
      <c r="L46" s="115">
        <v>-1605910</v>
      </c>
      <c r="M46" s="19" t="s">
        <v>5089</v>
      </c>
      <c r="N46" s="111">
        <f t="shared" si="16"/>
        <v>0</v>
      </c>
      <c r="O46" s="97">
        <v>0</v>
      </c>
      <c r="P46" s="97">
        <v>9700</v>
      </c>
      <c r="Q46" s="167">
        <v>64301597.104733549</v>
      </c>
      <c r="R46" s="210" t="s">
        <v>5641</v>
      </c>
      <c r="S46" s="195">
        <f>S45-1</f>
        <v>63</v>
      </c>
      <c r="T46" s="210" t="s">
        <v>5771</v>
      </c>
      <c r="U46" s="210">
        <v>17381.7</v>
      </c>
      <c r="V46" s="210">
        <f t="shared" si="6"/>
        <v>18485.937971506854</v>
      </c>
      <c r="W46" s="32">
        <f t="shared" si="19"/>
        <v>18855.656730936989</v>
      </c>
      <c r="X46" s="32">
        <f t="shared" si="20"/>
        <v>19225.375490367129</v>
      </c>
      <c r="Y46" t="s">
        <v>25</v>
      </c>
      <c r="Z46">
        <v>3686</v>
      </c>
      <c r="AA46" s="94"/>
      <c r="AB46" s="113"/>
      <c r="AC46" s="113"/>
      <c r="AD46" s="113"/>
      <c r="AE46" s="113"/>
      <c r="AF46" s="113"/>
      <c r="AH46" s="97">
        <v>27</v>
      </c>
      <c r="AI46" s="111" t="s">
        <v>3871</v>
      </c>
      <c r="AJ46" s="111">
        <v>450000</v>
      </c>
      <c r="AK46" s="97">
        <v>6</v>
      </c>
      <c r="AL46" s="97">
        <f t="shared" si="9"/>
        <v>812</v>
      </c>
      <c r="AM46" s="111">
        <f t="shared" si="10"/>
        <v>365400000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1370000</v>
      </c>
      <c r="Q47" s="167">
        <v>5368238</v>
      </c>
      <c r="R47" s="210" t="s">
        <v>5678</v>
      </c>
      <c r="S47" s="195">
        <f>S46-21</f>
        <v>42</v>
      </c>
      <c r="T47" s="210" t="s">
        <v>5679</v>
      </c>
      <c r="U47" s="210">
        <v>1843</v>
      </c>
      <c r="V47" s="210">
        <f t="shared" si="6"/>
        <v>1930.3935452054798</v>
      </c>
      <c r="W47" s="32">
        <f t="shared" ref="W47:W50" si="21">V47*(1+$W$19/100)</f>
        <v>1969.0014161095894</v>
      </c>
      <c r="X47" s="32">
        <f t="shared" ref="X47:X50" si="22">V47*(1+$X$19/100)</f>
        <v>2007.609287013699</v>
      </c>
      <c r="Y47">
        <v>2902</v>
      </c>
      <c r="AA47" s="94"/>
      <c r="AB47" s="113"/>
      <c r="AC47" s="113"/>
      <c r="AD47" s="113" t="s">
        <v>25</v>
      </c>
      <c r="AE47" s="113"/>
      <c r="AF47" s="113"/>
      <c r="AH47" s="97">
        <v>28</v>
      </c>
      <c r="AI47" s="111" t="s">
        <v>3895</v>
      </c>
      <c r="AJ47" s="111">
        <v>2800000</v>
      </c>
      <c r="AK47" s="97">
        <v>1</v>
      </c>
      <c r="AL47" s="97">
        <f t="shared" si="9"/>
        <v>806</v>
      </c>
      <c r="AM47" s="111">
        <f t="shared" si="10"/>
        <v>2256800000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5755</v>
      </c>
      <c r="L48" s="115">
        <v>2000000</v>
      </c>
      <c r="M48" s="71" t="s">
        <v>5088</v>
      </c>
      <c r="N48" s="115">
        <f t="shared" si="16"/>
        <v>0</v>
      </c>
      <c r="O48" s="67">
        <v>0</v>
      </c>
      <c r="P48" s="67">
        <v>29500</v>
      </c>
      <c r="Q48" s="167">
        <v>40195775</v>
      </c>
      <c r="R48" s="210" t="s">
        <v>5680</v>
      </c>
      <c r="S48" s="195">
        <f>S47-3</f>
        <v>39</v>
      </c>
      <c r="T48" s="210" t="s">
        <v>5681</v>
      </c>
      <c r="U48" s="210">
        <v>1751</v>
      </c>
      <c r="V48" s="210">
        <f t="shared" si="6"/>
        <v>1830.0012821917808</v>
      </c>
      <c r="W48" s="32">
        <f t="shared" si="21"/>
        <v>1866.6013078356164</v>
      </c>
      <c r="X48" s="32">
        <f t="shared" si="22"/>
        <v>1903.2013334794522</v>
      </c>
      <c r="Y48">
        <v>22871</v>
      </c>
      <c r="AB48" s="113" t="s">
        <v>25</v>
      </c>
      <c r="AC48" s="113"/>
      <c r="AD48" s="113"/>
      <c r="AE48" s="113"/>
      <c r="AF48" s="113"/>
      <c r="AH48" s="97">
        <v>29</v>
      </c>
      <c r="AI48" s="111" t="s">
        <v>3896</v>
      </c>
      <c r="AJ48" s="111">
        <v>-1500000</v>
      </c>
      <c r="AK48" s="97">
        <v>0</v>
      </c>
      <c r="AL48" s="97">
        <f t="shared" si="9"/>
        <v>805</v>
      </c>
      <c r="AM48" s="111">
        <f t="shared" si="10"/>
        <v>-1207500000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16176504</v>
      </c>
      <c r="R49" s="210" t="s">
        <v>5682</v>
      </c>
      <c r="S49" s="195">
        <f>S48-1</f>
        <v>38</v>
      </c>
      <c r="T49" s="210" t="s">
        <v>5683</v>
      </c>
      <c r="U49" s="210">
        <v>1730</v>
      </c>
      <c r="V49" s="210">
        <f t="shared" si="6"/>
        <v>1806.726684931507</v>
      </c>
      <c r="W49" s="32">
        <f t="shared" si="21"/>
        <v>1842.861218630137</v>
      </c>
      <c r="X49" s="32">
        <f t="shared" si="22"/>
        <v>1878.9957523287674</v>
      </c>
      <c r="Y49">
        <v>9316</v>
      </c>
      <c r="Z49" t="s">
        <v>25</v>
      </c>
      <c r="AA49" s="94"/>
      <c r="AC49" t="s">
        <v>25</v>
      </c>
      <c r="AD49" t="s">
        <v>25</v>
      </c>
      <c r="AF49" s="113"/>
      <c r="AH49" s="97">
        <v>30</v>
      </c>
      <c r="AI49" s="111" t="s">
        <v>3896</v>
      </c>
      <c r="AJ49" s="111">
        <v>3050000</v>
      </c>
      <c r="AK49" s="97">
        <v>3</v>
      </c>
      <c r="AL49" s="97">
        <f>AL50+AK49</f>
        <v>805</v>
      </c>
      <c r="AM49" s="111">
        <f t="shared" si="10"/>
        <v>2455250000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47880291</v>
      </c>
      <c r="R50" s="210" t="s">
        <v>5690</v>
      </c>
      <c r="S50" s="195">
        <f>S49-8</f>
        <v>30</v>
      </c>
      <c r="T50" s="210" t="s">
        <v>5694</v>
      </c>
      <c r="U50" s="210">
        <v>1737.1</v>
      </c>
      <c r="V50" s="210">
        <f t="shared" si="6"/>
        <v>1803.4810158904111</v>
      </c>
      <c r="W50" s="32">
        <f t="shared" si="21"/>
        <v>1839.5506362082194</v>
      </c>
      <c r="X50" s="32">
        <f t="shared" si="22"/>
        <v>1875.6202565260276</v>
      </c>
      <c r="Y50">
        <v>27461</v>
      </c>
      <c r="AA50" s="94"/>
      <c r="AH50" s="97">
        <v>31</v>
      </c>
      <c r="AI50" s="111" t="s">
        <v>3920</v>
      </c>
      <c r="AJ50" s="111">
        <v>-8299612</v>
      </c>
      <c r="AK50" s="97">
        <v>2</v>
      </c>
      <c r="AL50" s="97">
        <f t="shared" si="9"/>
        <v>802</v>
      </c>
      <c r="AM50" s="111">
        <f t="shared" si="10"/>
        <v>-6656288824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c r="P51" s="113"/>
      <c r="Q51" s="167">
        <v>48859908</v>
      </c>
      <c r="R51" s="210" t="s">
        <v>5693</v>
      </c>
      <c r="S51" s="195">
        <f>S50-1</f>
        <v>29</v>
      </c>
      <c r="T51" s="210" t="s">
        <v>5697</v>
      </c>
      <c r="U51" s="210">
        <v>1730.1</v>
      </c>
      <c r="V51" s="210">
        <f t="shared" si="6"/>
        <v>1794.8863199999998</v>
      </c>
      <c r="W51" s="32">
        <f t="shared" ref="W51:W52" si="23">V51*(1+$W$19/100)</f>
        <v>1830.7840463999999</v>
      </c>
      <c r="X51" s="32">
        <f t="shared" ref="X51:X52" si="24">V51*(1+$X$19/100)</f>
        <v>1866.6817727999999</v>
      </c>
      <c r="Y51">
        <v>28136</v>
      </c>
      <c r="Z51" t="s">
        <v>25</v>
      </c>
      <c r="AA51" s="94" t="s">
        <v>25</v>
      </c>
      <c r="AH51" s="97">
        <v>32</v>
      </c>
      <c r="AI51" s="111" t="s">
        <v>3915</v>
      </c>
      <c r="AJ51" s="111">
        <v>5000000</v>
      </c>
      <c r="AK51" s="97">
        <v>14</v>
      </c>
      <c r="AL51" s="97">
        <f t="shared" si="9"/>
        <v>800</v>
      </c>
      <c r="AM51" s="111">
        <f t="shared" si="10"/>
        <v>4000000000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38191823</v>
      </c>
      <c r="R52" s="210" t="s">
        <v>5695</v>
      </c>
      <c r="S52" s="195">
        <f>S51-1</f>
        <v>28</v>
      </c>
      <c r="T52" s="210" t="s">
        <v>5696</v>
      </c>
      <c r="U52" s="210">
        <v>1646</v>
      </c>
      <c r="V52" s="210">
        <f t="shared" si="6"/>
        <v>1706.3743780821919</v>
      </c>
      <c r="W52" s="32">
        <f t="shared" si="23"/>
        <v>1740.5018656438358</v>
      </c>
      <c r="X52" s="32">
        <f t="shared" si="24"/>
        <v>1774.6293532054797</v>
      </c>
      <c r="Y52">
        <v>23117</v>
      </c>
      <c r="AA52" s="94"/>
      <c r="AH52" s="97">
        <v>33</v>
      </c>
      <c r="AI52" s="111" t="s">
        <v>975</v>
      </c>
      <c r="AJ52" s="111">
        <v>-90000</v>
      </c>
      <c r="AK52" s="97">
        <v>1</v>
      </c>
      <c r="AL52" s="97">
        <f t="shared" si="9"/>
        <v>786</v>
      </c>
      <c r="AM52" s="111">
        <f t="shared" si="10"/>
        <v>-70740000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70173463</v>
      </c>
      <c r="R53" s="210" t="s">
        <v>5698</v>
      </c>
      <c r="S53" s="195">
        <f>S52-3</f>
        <v>25</v>
      </c>
      <c r="T53" s="210" t="s">
        <v>5702</v>
      </c>
      <c r="U53" s="210">
        <v>1674.7</v>
      </c>
      <c r="V53" s="210">
        <f t="shared" si="6"/>
        <v>1732.2729742465756</v>
      </c>
      <c r="W53" s="32">
        <f t="shared" ref="W53:W56" si="25">V53*(1+$W$19/100)</f>
        <v>1766.9184337315071</v>
      </c>
      <c r="X53" s="32">
        <f t="shared" ref="X53:X56" si="26">V53*(1+$X$19/100)</f>
        <v>1801.5638932164386</v>
      </c>
      <c r="Y53">
        <v>41747</v>
      </c>
      <c r="Z53" t="s">
        <v>25</v>
      </c>
      <c r="AA53" s="94"/>
      <c r="AH53" s="97">
        <v>34</v>
      </c>
      <c r="AI53" s="111" t="s">
        <v>4037</v>
      </c>
      <c r="AJ53" s="111">
        <v>5600000</v>
      </c>
      <c r="AK53" s="97">
        <v>4</v>
      </c>
      <c r="AL53" s="97">
        <f t="shared" si="9"/>
        <v>785</v>
      </c>
      <c r="AM53" s="111">
        <f t="shared" si="10"/>
        <v>4396000000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23283294</v>
      </c>
      <c r="R54" s="210" t="s">
        <v>5700</v>
      </c>
      <c r="S54" s="195">
        <f>S53-2</f>
        <v>23</v>
      </c>
      <c r="T54" s="210" t="s">
        <v>5701</v>
      </c>
      <c r="U54" s="210">
        <v>1663</v>
      </c>
      <c r="V54" s="210">
        <f t="shared" si="6"/>
        <v>1717.6192986301371</v>
      </c>
      <c r="W54" s="32">
        <f t="shared" si="25"/>
        <v>1751.97168460274</v>
      </c>
      <c r="X54" s="32">
        <f t="shared" si="26"/>
        <v>1786.3240705753426</v>
      </c>
      <c r="Y54">
        <v>13949</v>
      </c>
      <c r="Z54" t="s">
        <v>25</v>
      </c>
      <c r="AA54" s="94"/>
      <c r="AH54" s="97">
        <v>35</v>
      </c>
      <c r="AI54" s="111" t="s">
        <v>3965</v>
      </c>
      <c r="AJ54" s="111">
        <v>750000</v>
      </c>
      <c r="AK54" s="97">
        <v>2</v>
      </c>
      <c r="AL54" s="97">
        <f t="shared" si="9"/>
        <v>781</v>
      </c>
      <c r="AM54" s="111">
        <f t="shared" si="10"/>
        <v>585750000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4406</v>
      </c>
      <c r="N55" s="111">
        <f>-W147</f>
        <v>-108763770.3334731</v>
      </c>
      <c r="P55" t="s">
        <v>25</v>
      </c>
      <c r="Q55" s="167">
        <v>1611237.824</v>
      </c>
      <c r="R55" s="210" t="s">
        <v>5703</v>
      </c>
      <c r="S55" s="195">
        <f>S54-1</f>
        <v>22</v>
      </c>
      <c r="T55" s="210" t="s">
        <v>5708</v>
      </c>
      <c r="U55" s="210">
        <v>1580</v>
      </c>
      <c r="V55" s="210">
        <f t="shared" si="6"/>
        <v>1630.6812054794523</v>
      </c>
      <c r="W55" s="32">
        <f t="shared" si="25"/>
        <v>1663.2948295890415</v>
      </c>
      <c r="X55" s="32">
        <f t="shared" si="26"/>
        <v>1695.9084536986304</v>
      </c>
      <c r="Y55">
        <v>1016</v>
      </c>
      <c r="AA55" s="94" t="s">
        <v>25</v>
      </c>
      <c r="AH55" s="169">
        <v>36</v>
      </c>
      <c r="AI55" s="168" t="s">
        <v>3975</v>
      </c>
      <c r="AJ55" s="168">
        <v>-4242000</v>
      </c>
      <c r="AK55" s="169">
        <v>2</v>
      </c>
      <c r="AL55" s="169">
        <f t="shared" si="9"/>
        <v>779</v>
      </c>
      <c r="AM55" s="168">
        <f t="shared" si="10"/>
        <v>-3304518000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563902380</v>
      </c>
      <c r="R56" s="210" t="s">
        <v>5710</v>
      </c>
      <c r="S56" s="195">
        <f>S55-5</f>
        <v>17</v>
      </c>
      <c r="T56" s="210" t="s">
        <v>5712</v>
      </c>
      <c r="U56" s="210">
        <v>1560.1</v>
      </c>
      <c r="V56" s="210">
        <f t="shared" si="6"/>
        <v>1604.1589336986303</v>
      </c>
      <c r="W56" s="32">
        <f t="shared" si="25"/>
        <v>1636.2421123726031</v>
      </c>
      <c r="X56" s="32">
        <f t="shared" si="26"/>
        <v>1668.3252910465756</v>
      </c>
      <c r="Y56">
        <v>360127</v>
      </c>
      <c r="Z56" s="113"/>
      <c r="AH56" s="97">
        <v>37</v>
      </c>
      <c r="AI56" s="111" t="s">
        <v>3975</v>
      </c>
      <c r="AJ56" s="111">
        <v>4100000</v>
      </c>
      <c r="AK56" s="97">
        <v>0</v>
      </c>
      <c r="AL56" s="97">
        <f t="shared" si="9"/>
        <v>777</v>
      </c>
      <c r="AM56" s="111">
        <f t="shared" si="10"/>
        <v>3185700000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814638349</v>
      </c>
      <c r="R57" s="210" t="s">
        <v>5718</v>
      </c>
      <c r="S57" s="195">
        <f>S56-8</f>
        <v>9</v>
      </c>
      <c r="T57" s="210" t="s">
        <v>5719</v>
      </c>
      <c r="U57" s="210">
        <v>1667</v>
      </c>
      <c r="V57" s="210">
        <f t="shared" si="6"/>
        <v>1703.8475506849318</v>
      </c>
      <c r="W57" s="32">
        <f t="shared" ref="W57:W58" si="27">V57*(1+$W$19/100)</f>
        <v>1737.9245016986304</v>
      </c>
      <c r="X57" s="32">
        <f t="shared" ref="X57:X58" si="28">V57*(1+$X$19/100)</f>
        <v>1772.0014527123292</v>
      </c>
      <c r="Y57">
        <v>486878</v>
      </c>
      <c r="Z57" s="113"/>
      <c r="AH57" s="97">
        <v>38</v>
      </c>
      <c r="AI57" s="111" t="s">
        <v>3981</v>
      </c>
      <c r="AJ57" s="111">
        <v>4100000</v>
      </c>
      <c r="AK57" s="97">
        <v>1</v>
      </c>
      <c r="AL57" s="97">
        <f t="shared" si="9"/>
        <v>777</v>
      </c>
      <c r="AM57" s="111">
        <f t="shared" si="10"/>
        <v>3185700000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3351045233.4943008</v>
      </c>
      <c r="P58" t="s">
        <v>25</v>
      </c>
      <c r="Q58" s="167">
        <v>2537951</v>
      </c>
      <c r="R58" s="210" t="s">
        <v>5740</v>
      </c>
      <c r="S58" s="195">
        <f>S57-5</f>
        <v>4</v>
      </c>
      <c r="T58" s="210" t="s">
        <v>5741</v>
      </c>
      <c r="U58" s="210">
        <v>1768.2</v>
      </c>
      <c r="V58" s="210">
        <f t="shared" si="6"/>
        <v>1800.5023495890414</v>
      </c>
      <c r="W58" s="32">
        <f t="shared" si="27"/>
        <v>1836.5123965808223</v>
      </c>
      <c r="X58" s="32">
        <f t="shared" si="28"/>
        <v>1872.5224435726032</v>
      </c>
      <c r="Y58">
        <v>1430</v>
      </c>
      <c r="Z58" s="113"/>
      <c r="AH58" s="97">
        <v>39</v>
      </c>
      <c r="AI58" s="111" t="s">
        <v>3990</v>
      </c>
      <c r="AJ58" s="111">
        <v>790000</v>
      </c>
      <c r="AK58" s="97">
        <v>15</v>
      </c>
      <c r="AL58" s="97">
        <f t="shared" si="9"/>
        <v>776</v>
      </c>
      <c r="AM58" s="111">
        <f t="shared" si="10"/>
        <v>613040000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5146654335.172226</v>
      </c>
      <c r="M59" s="166"/>
      <c r="N59" s="111">
        <f>N16+N17+N32</f>
        <v>641053</v>
      </c>
      <c r="Q59" s="167">
        <v>2352469</v>
      </c>
      <c r="R59" s="210" t="s">
        <v>5746</v>
      </c>
      <c r="S59" s="195">
        <f>S58-2</f>
        <v>2</v>
      </c>
      <c r="T59" s="210" t="s">
        <v>5747</v>
      </c>
      <c r="U59" s="210">
        <v>15730</v>
      </c>
      <c r="V59" s="210">
        <f t="shared" si="6"/>
        <v>15993.229698630139</v>
      </c>
      <c r="W59" s="32">
        <f t="shared" ref="W59" si="29">V59*(1+$W$19/100)</f>
        <v>16313.094292602742</v>
      </c>
      <c r="X59" s="32">
        <f t="shared" ref="X59" si="30">V59*(1+$X$19/100)</f>
        <v>16632.958886575347</v>
      </c>
      <c r="Z59" s="120" t="s">
        <v>25</v>
      </c>
      <c r="AB59" s="94"/>
      <c r="AC59" s="94"/>
      <c r="AH59" s="169">
        <v>40</v>
      </c>
      <c r="AI59" s="168" t="s">
        <v>4021</v>
      </c>
      <c r="AJ59" s="168">
        <v>-3865000</v>
      </c>
      <c r="AK59" s="169">
        <v>6</v>
      </c>
      <c r="AL59" s="169">
        <f t="shared" si="9"/>
        <v>761</v>
      </c>
      <c r="AM59" s="170">
        <f t="shared" si="10"/>
        <v>-2941265000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69979630.371547952</v>
      </c>
      <c r="R60" s="210" t="s">
        <v>5751</v>
      </c>
      <c r="S60" s="195">
        <f>S59-1</f>
        <v>1</v>
      </c>
      <c r="T60" s="210" t="s">
        <v>5769</v>
      </c>
      <c r="U60" s="210">
        <v>16861.099999999999</v>
      </c>
      <c r="V60" s="210">
        <f t="shared" si="6"/>
        <v>17130.323262465754</v>
      </c>
      <c r="W60" s="32">
        <f t="shared" ref="W60:W70" si="31">V60*(1+$W$19/100)</f>
        <v>17472.929727715069</v>
      </c>
      <c r="X60" s="32">
        <f t="shared" ref="X60:X70" si="32">V60*(1+$X$19/100)</f>
        <v>17815.536192964384</v>
      </c>
      <c r="Y60" s="94"/>
      <c r="Z60" s="120"/>
      <c r="AA60" t="s">
        <v>25</v>
      </c>
      <c r="AB60" s="94"/>
      <c r="AC60" s="94"/>
      <c r="AH60" s="20">
        <v>41</v>
      </c>
      <c r="AI60" s="115" t="s">
        <v>4051</v>
      </c>
      <c r="AJ60" s="115">
        <v>18800000</v>
      </c>
      <c r="AK60" s="20">
        <v>3</v>
      </c>
      <c r="AL60" s="97">
        <f t="shared" si="9"/>
        <v>755</v>
      </c>
      <c r="AM60" s="111">
        <f t="shared" si="10"/>
        <v>14194000000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5246654335.172226</v>
      </c>
      <c r="O61" s="94"/>
      <c r="P61" s="94"/>
      <c r="Q61" s="167">
        <v>67414766</v>
      </c>
      <c r="R61" s="210" t="s">
        <v>5751</v>
      </c>
      <c r="S61" s="195">
        <f>S60</f>
        <v>1</v>
      </c>
      <c r="T61" s="210" t="s">
        <v>5761</v>
      </c>
      <c r="U61" s="210">
        <v>1582.3</v>
      </c>
      <c r="V61" s="210">
        <f t="shared" si="6"/>
        <v>1607.5647791780821</v>
      </c>
      <c r="W61" s="32">
        <f t="shared" si="31"/>
        <v>1639.7160747616438</v>
      </c>
      <c r="X61" s="32">
        <f t="shared" si="32"/>
        <v>1671.8673703452055</v>
      </c>
      <c r="Y61" s="94">
        <v>42448</v>
      </c>
      <c r="Z61" s="120"/>
      <c r="AA61">
        <v>149</v>
      </c>
      <c r="AB61" s="94"/>
      <c r="AC61" s="94"/>
      <c r="AH61" s="20">
        <v>42</v>
      </c>
      <c r="AI61" s="115" t="s">
        <v>4068</v>
      </c>
      <c r="AJ61" s="115">
        <v>500000</v>
      </c>
      <c r="AK61" s="20">
        <v>1</v>
      </c>
      <c r="AL61" s="97">
        <f t="shared" si="9"/>
        <v>752</v>
      </c>
      <c r="AM61" s="111">
        <f t="shared" si="10"/>
        <v>376000000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v>23400057</v>
      </c>
      <c r="R62" s="210" t="s">
        <v>5756</v>
      </c>
      <c r="S62" s="195">
        <f>S61-1</f>
        <v>0</v>
      </c>
      <c r="T62" s="210" t="s">
        <v>5762</v>
      </c>
      <c r="U62" s="210">
        <v>1610.6</v>
      </c>
      <c r="V62" s="210">
        <f t="shared" si="6"/>
        <v>1635.0811200000001</v>
      </c>
      <c r="W62" s="32">
        <f t="shared" si="31"/>
        <v>1667.7827424000002</v>
      </c>
      <c r="X62" s="32">
        <f t="shared" si="32"/>
        <v>1700.4843648000001</v>
      </c>
      <c r="Y62" s="94">
        <v>14475</v>
      </c>
      <c r="Z62" s="120" t="s">
        <v>25</v>
      </c>
      <c r="AA62" s="94">
        <v>4135</v>
      </c>
      <c r="AB62" s="94"/>
      <c r="AC62" s="94"/>
      <c r="AH62" s="20">
        <v>43</v>
      </c>
      <c r="AI62" s="115" t="s">
        <v>4072</v>
      </c>
      <c r="AJ62" s="115">
        <v>200000</v>
      </c>
      <c r="AK62" s="20">
        <v>3</v>
      </c>
      <c r="AL62" s="97">
        <f>AL63+AK62</f>
        <v>751</v>
      </c>
      <c r="AM62" s="111">
        <f t="shared" si="10"/>
        <v>150200000</v>
      </c>
      <c r="AN62" s="20"/>
    </row>
    <row r="63" spans="1:45">
      <c r="E63" s="26"/>
      <c r="M63" s="25" t="s">
        <v>4064</v>
      </c>
      <c r="N63" s="273" t="s">
        <v>5237</v>
      </c>
      <c r="O63" s="94" t="s">
        <v>25</v>
      </c>
      <c r="P63" s="113"/>
      <c r="Q63" s="167"/>
      <c r="R63" s="210" t="s">
        <v>5764</v>
      </c>
      <c r="S63" s="195">
        <f>S62-4</f>
        <v>-4</v>
      </c>
      <c r="T63" s="210" t="s">
        <v>5765</v>
      </c>
      <c r="U63" s="210">
        <v>1582</v>
      </c>
      <c r="V63" s="210"/>
      <c r="W63" s="32"/>
      <c r="X63" s="32"/>
      <c r="Y63" s="94">
        <v>71983</v>
      </c>
      <c r="Z63" s="120"/>
      <c r="AA63" s="94"/>
      <c r="AB63" s="94"/>
      <c r="AC63" s="94"/>
      <c r="AH63" s="20">
        <v>44</v>
      </c>
      <c r="AI63" s="115" t="s">
        <v>4079</v>
      </c>
      <c r="AJ63" s="115">
        <v>1000000</v>
      </c>
      <c r="AK63" s="20">
        <v>3</v>
      </c>
      <c r="AL63" s="97">
        <f t="shared" si="9"/>
        <v>748</v>
      </c>
      <c r="AM63" s="111">
        <f t="shared" si="10"/>
        <v>748000000</v>
      </c>
      <c r="AN63" s="20"/>
    </row>
    <row r="64" spans="1:45">
      <c r="E64" s="26"/>
      <c r="M64" s="175"/>
      <c r="N64" s="94"/>
      <c r="O64" s="94"/>
      <c r="P64" s="113"/>
      <c r="Q64" s="167"/>
      <c r="R64" s="210" t="s">
        <v>5767</v>
      </c>
      <c r="S64" s="195">
        <f>S63-1</f>
        <v>-5</v>
      </c>
      <c r="T64" s="210" t="s">
        <v>5768</v>
      </c>
      <c r="U64" s="210">
        <v>1530</v>
      </c>
      <c r="V64" s="210"/>
      <c r="W64" s="32"/>
      <c r="X64" s="32"/>
      <c r="Y64" s="94">
        <v>2971</v>
      </c>
      <c r="Z64" s="120"/>
      <c r="AA64" s="94"/>
      <c r="AB64" s="94"/>
      <c r="AC64" s="94"/>
      <c r="AH64" s="20">
        <v>45</v>
      </c>
      <c r="AI64" s="115" t="s">
        <v>4091</v>
      </c>
      <c r="AJ64" s="115">
        <v>1300000</v>
      </c>
      <c r="AK64" s="20">
        <v>0</v>
      </c>
      <c r="AL64" s="97">
        <f>AL65+AK64</f>
        <v>745</v>
      </c>
      <c r="AM64" s="111">
        <f t="shared" si="10"/>
        <v>968500000</v>
      </c>
      <c r="AN64" s="20"/>
    </row>
    <row r="65" spans="1:40">
      <c r="M65" s="94" t="s">
        <v>4732</v>
      </c>
      <c r="N65" s="94"/>
      <c r="O65" s="94"/>
      <c r="Q65" s="167"/>
      <c r="R65" s="210" t="s">
        <v>5772</v>
      </c>
      <c r="S65" s="195">
        <f>S64-2</f>
        <v>-7</v>
      </c>
      <c r="T65" s="210" t="s">
        <v>5773</v>
      </c>
      <c r="U65" s="210"/>
      <c r="V65" s="210"/>
      <c r="W65" s="32"/>
      <c r="X65" s="32"/>
      <c r="Y65" s="94"/>
      <c r="Z65" s="120">
        <v>24953</v>
      </c>
      <c r="AA65" s="94"/>
      <c r="AB65" s="94"/>
      <c r="AC65" s="94"/>
      <c r="AH65" s="20">
        <v>45</v>
      </c>
      <c r="AI65" s="115" t="s">
        <v>4091</v>
      </c>
      <c r="AJ65" s="115">
        <v>995000</v>
      </c>
      <c r="AK65" s="20">
        <v>2</v>
      </c>
      <c r="AL65" s="97">
        <f t="shared" ref="AL65:AL92" si="33">AL66+AK65</f>
        <v>745</v>
      </c>
      <c r="AM65" s="111">
        <f t="shared" si="10"/>
        <v>741275000</v>
      </c>
      <c r="AN65" s="20"/>
    </row>
    <row r="66" spans="1:40">
      <c r="M66" s="120" t="s">
        <v>4377</v>
      </c>
      <c r="O66" s="112"/>
      <c r="Q66" s="167"/>
      <c r="R66" s="210" t="s">
        <v>5772</v>
      </c>
      <c r="S66" s="195">
        <f>S65</f>
        <v>-7</v>
      </c>
      <c r="T66" s="210" t="s">
        <v>5774</v>
      </c>
      <c r="U66" s="210"/>
      <c r="V66" s="210"/>
      <c r="W66" s="32"/>
      <c r="X66" s="32"/>
      <c r="Y66" s="94">
        <v>32899</v>
      </c>
      <c r="Z66" s="120"/>
      <c r="AA66" s="94"/>
      <c r="AB66" s="94"/>
      <c r="AC66" s="94"/>
      <c r="AH66" s="20">
        <v>46</v>
      </c>
      <c r="AI66" s="115" t="s">
        <v>4101</v>
      </c>
      <c r="AJ66" s="115">
        <v>13000000</v>
      </c>
      <c r="AK66" s="20">
        <v>2</v>
      </c>
      <c r="AL66" s="97">
        <f t="shared" si="33"/>
        <v>743</v>
      </c>
      <c r="AM66" s="111">
        <f t="shared" si="10"/>
        <v>9659000000</v>
      </c>
      <c r="AN66" s="20"/>
    </row>
    <row r="67" spans="1:40">
      <c r="A67" t="s">
        <v>25</v>
      </c>
      <c r="F67" t="s">
        <v>310</v>
      </c>
      <c r="G67" t="s">
        <v>4083</v>
      </c>
      <c r="M67" s="120" t="s">
        <v>4460</v>
      </c>
      <c r="N67" s="94"/>
      <c r="Q67" s="167"/>
      <c r="R67" s="210" t="s">
        <v>5772</v>
      </c>
      <c r="S67" s="195">
        <f>S66</f>
        <v>-7</v>
      </c>
      <c r="T67" s="210" t="s">
        <v>5775</v>
      </c>
      <c r="U67" s="210"/>
      <c r="V67" s="210"/>
      <c r="W67" s="32"/>
      <c r="X67" s="32"/>
      <c r="Y67" s="94"/>
      <c r="Z67" s="120"/>
      <c r="AA67" s="94">
        <v>6853</v>
      </c>
      <c r="AB67" s="94"/>
      <c r="AC67" s="94"/>
      <c r="AH67" s="20">
        <v>47</v>
      </c>
      <c r="AI67" s="115" t="s">
        <v>4114</v>
      </c>
      <c r="AJ67" s="115">
        <v>-3100000</v>
      </c>
      <c r="AK67" s="20">
        <v>3</v>
      </c>
      <c r="AL67" s="97">
        <f t="shared" si="33"/>
        <v>741</v>
      </c>
      <c r="AM67" s="111">
        <f t="shared" si="10"/>
        <v>-2297100000</v>
      </c>
      <c r="AN67" s="20"/>
    </row>
    <row r="68" spans="1:40">
      <c r="F68" t="s">
        <v>4087</v>
      </c>
      <c r="G68" t="s">
        <v>4082</v>
      </c>
      <c r="M68" s="120" t="s">
        <v>4526</v>
      </c>
      <c r="N68" s="94"/>
      <c r="O68" s="274"/>
      <c r="P68" t="s">
        <v>25</v>
      </c>
      <c r="Q68" s="167"/>
      <c r="R68" s="210"/>
      <c r="S68" s="195"/>
      <c r="T68" s="210"/>
      <c r="U68" s="210"/>
      <c r="V68" s="210"/>
      <c r="W68" s="32"/>
      <c r="X68" s="32"/>
      <c r="Y68" s="94"/>
      <c r="Z68" s="120"/>
      <c r="AA68" s="94"/>
      <c r="AB68" s="94"/>
      <c r="AC68" s="94"/>
      <c r="AH68" s="20">
        <v>48</v>
      </c>
      <c r="AI68" s="115" t="s">
        <v>4129</v>
      </c>
      <c r="AJ68" s="115">
        <v>45640000</v>
      </c>
      <c r="AK68" s="20">
        <v>1</v>
      </c>
      <c r="AL68" s="97">
        <f t="shared" si="33"/>
        <v>738</v>
      </c>
      <c r="AM68" s="111">
        <f t="shared" si="10"/>
        <v>33682320000</v>
      </c>
      <c r="AN68" s="20"/>
    </row>
    <row r="69" spans="1:40" ht="30">
      <c r="F69" t="s">
        <v>4088</v>
      </c>
      <c r="G69" t="s">
        <v>4084</v>
      </c>
      <c r="M69" s="203" t="s">
        <v>4629</v>
      </c>
      <c r="N69" s="94"/>
      <c r="P69" s="113"/>
      <c r="Q69" s="167" t="s">
        <v>25</v>
      </c>
      <c r="R69" s="210" t="s">
        <v>25</v>
      </c>
      <c r="S69" s="195"/>
      <c r="T69" s="210" t="s">
        <v>25</v>
      </c>
      <c r="U69" s="210"/>
      <c r="V69" s="210">
        <f>U69*(1+$R$99+$Q$15*S69/36500)</f>
        <v>0</v>
      </c>
      <c r="W69" s="32">
        <f t="shared" si="31"/>
        <v>0</v>
      </c>
      <c r="X69" s="32">
        <f t="shared" si="32"/>
        <v>0</v>
      </c>
      <c r="Z69" s="120" t="s">
        <v>25</v>
      </c>
      <c r="AA69" s="94"/>
      <c r="AB69" s="94"/>
      <c r="AC69" s="94"/>
      <c r="AH69" s="20">
        <v>49</v>
      </c>
      <c r="AI69" s="115" t="s">
        <v>4134</v>
      </c>
      <c r="AJ69" s="115">
        <v>33500000</v>
      </c>
      <c r="AK69" s="20">
        <v>1</v>
      </c>
      <c r="AL69" s="97">
        <f t="shared" si="33"/>
        <v>737</v>
      </c>
      <c r="AM69" s="111">
        <f t="shared" si="10"/>
        <v>24689500000</v>
      </c>
      <c r="AN69" s="20"/>
    </row>
    <row r="70" spans="1:40" ht="31.5">
      <c r="G70" t="s">
        <v>4085</v>
      </c>
      <c r="K70" s="209" t="s">
        <v>4672</v>
      </c>
      <c r="L70" s="22" t="s">
        <v>4650</v>
      </c>
      <c r="M70" s="251" t="s">
        <v>4953</v>
      </c>
      <c r="N70" s="94"/>
      <c r="P70" s="113" t="s">
        <v>25</v>
      </c>
      <c r="Q70" s="167" t="s">
        <v>25</v>
      </c>
      <c r="R70" s="166" t="s">
        <v>25</v>
      </c>
      <c r="S70" s="166"/>
      <c r="T70" s="166" t="s">
        <v>25</v>
      </c>
      <c r="U70" s="166"/>
      <c r="V70" s="210">
        <f>U70*(1+$R$99+$Q$15*S70/36500)</f>
        <v>0</v>
      </c>
      <c r="W70" s="32">
        <f t="shared" si="31"/>
        <v>0</v>
      </c>
      <c r="X70" s="32">
        <f t="shared" si="32"/>
        <v>0</v>
      </c>
      <c r="Y70" s="120" t="s">
        <v>25</v>
      </c>
      <c r="Z70" s="120"/>
      <c r="AA70" s="94"/>
      <c r="AH70" s="20">
        <v>50</v>
      </c>
      <c r="AI70" s="115" t="s">
        <v>4139</v>
      </c>
      <c r="AJ70" s="115">
        <v>12000000</v>
      </c>
      <c r="AK70" s="20">
        <v>1</v>
      </c>
      <c r="AL70" s="97">
        <f t="shared" si="33"/>
        <v>736</v>
      </c>
      <c r="AM70" s="115">
        <f t="shared" si="10"/>
        <v>8832000000</v>
      </c>
      <c r="AN70" s="20"/>
    </row>
    <row r="71" spans="1:40">
      <c r="G71" t="s">
        <v>4086</v>
      </c>
      <c r="K71" t="s">
        <v>4673</v>
      </c>
      <c r="M71" s="120"/>
      <c r="O71" t="s">
        <v>25</v>
      </c>
      <c r="P71" s="113"/>
      <c r="Q71" s="167">
        <f>SUM(N21:N23)-SUM(Q20:Q70)</f>
        <v>647047803.42840433</v>
      </c>
      <c r="R71" s="166" t="s">
        <v>25</v>
      </c>
      <c r="S71" s="166" t="s">
        <v>25</v>
      </c>
      <c r="T71" s="166" t="s">
        <v>25</v>
      </c>
      <c r="U71" s="166"/>
      <c r="V71" s="166"/>
      <c r="W71" s="32"/>
      <c r="X71" s="32"/>
      <c r="Z71" s="120"/>
      <c r="AH71" s="20">
        <v>51</v>
      </c>
      <c r="AI71" s="115" t="s">
        <v>4144</v>
      </c>
      <c r="AJ71" s="115">
        <v>15500000</v>
      </c>
      <c r="AK71" s="20">
        <v>4</v>
      </c>
      <c r="AL71" s="97">
        <f t="shared" si="33"/>
        <v>735</v>
      </c>
      <c r="AM71" s="115">
        <f t="shared" si="10"/>
        <v>11392500000</v>
      </c>
      <c r="AN71" s="20"/>
    </row>
    <row r="72" spans="1:40">
      <c r="G72" t="s">
        <v>4090</v>
      </c>
      <c r="K72" t="s">
        <v>4529</v>
      </c>
      <c r="L72" s="94"/>
      <c r="M72" s="94"/>
      <c r="N72" s="111"/>
      <c r="P72" s="114"/>
      <c r="R72" s="113" t="s">
        <v>25</v>
      </c>
      <c r="S72" s="113" t="s">
        <v>25</v>
      </c>
      <c r="T72" s="120" t="s">
        <v>25</v>
      </c>
      <c r="U72" s="113" t="s">
        <v>25</v>
      </c>
      <c r="V72" s="113" t="s">
        <v>25</v>
      </c>
      <c r="W72" s="192" t="s">
        <v>25</v>
      </c>
      <c r="X72" s="192"/>
      <c r="Z72" s="120"/>
      <c r="AA72" t="s">
        <v>25</v>
      </c>
      <c r="AH72" s="20">
        <v>52</v>
      </c>
      <c r="AI72" s="115" t="s">
        <v>4148</v>
      </c>
      <c r="AJ72" s="115">
        <v>150000</v>
      </c>
      <c r="AK72" s="20">
        <v>1</v>
      </c>
      <c r="AL72" s="97">
        <f t="shared" si="33"/>
        <v>731</v>
      </c>
      <c r="AM72" s="115">
        <f t="shared" si="10"/>
        <v>109650000</v>
      </c>
      <c r="AN72" s="20"/>
    </row>
    <row r="73" spans="1:40">
      <c r="G73" t="s">
        <v>4089</v>
      </c>
      <c r="K73" t="s">
        <v>4733</v>
      </c>
      <c r="P73" s="113"/>
      <c r="Q73" s="94" t="s">
        <v>25</v>
      </c>
      <c r="R73" s="113" t="s">
        <v>25</v>
      </c>
      <c r="S73" s="113"/>
      <c r="T73" s="113" t="s">
        <v>25</v>
      </c>
      <c r="U73" s="113" t="s">
        <v>25</v>
      </c>
      <c r="V73" s="120" t="s">
        <v>25</v>
      </c>
      <c r="W73" s="192"/>
      <c r="X73" s="192" t="s">
        <v>25</v>
      </c>
      <c r="Y73" s="94">
        <v>4661</v>
      </c>
      <c r="AA73" t="s">
        <v>25</v>
      </c>
      <c r="AH73" s="177">
        <v>53</v>
      </c>
      <c r="AI73" s="178" t="s">
        <v>4154</v>
      </c>
      <c r="AJ73" s="178">
        <v>29000000</v>
      </c>
      <c r="AK73" s="177">
        <v>15</v>
      </c>
      <c r="AL73" s="177">
        <f t="shared" si="33"/>
        <v>730</v>
      </c>
      <c r="AM73" s="178">
        <f t="shared" si="10"/>
        <v>21170000000</v>
      </c>
      <c r="AN73" s="177" t="s">
        <v>4164</v>
      </c>
    </row>
    <row r="74" spans="1:40">
      <c r="K74" t="s">
        <v>4734</v>
      </c>
      <c r="N74" t="s">
        <v>25</v>
      </c>
      <c r="P74" s="113"/>
      <c r="Q74" s="166" t="s">
        <v>650</v>
      </c>
      <c r="R74" s="166"/>
      <c r="S74" s="166"/>
      <c r="T74" s="166"/>
      <c r="U74" s="166"/>
      <c r="V74" s="166"/>
      <c r="W74" s="32"/>
      <c r="X74" s="32"/>
      <c r="Y74" s="94">
        <v>10000</v>
      </c>
      <c r="AA74" s="113"/>
      <c r="AH74" s="20">
        <v>54</v>
      </c>
      <c r="AI74" s="115" t="s">
        <v>4188</v>
      </c>
      <c r="AJ74" s="115">
        <v>-130000</v>
      </c>
      <c r="AK74" s="20">
        <v>7</v>
      </c>
      <c r="AL74" s="97">
        <f t="shared" si="33"/>
        <v>715</v>
      </c>
      <c r="AM74" s="115">
        <f t="shared" si="10"/>
        <v>-92950000</v>
      </c>
      <c r="AN74" s="20" t="s">
        <v>4190</v>
      </c>
    </row>
    <row r="75" spans="1:40" ht="32.25">
      <c r="G75" s="94"/>
      <c r="H75" s="94"/>
      <c r="K75" t="s">
        <v>4735</v>
      </c>
      <c r="M75" s="248"/>
      <c r="Q75" s="166" t="s">
        <v>267</v>
      </c>
      <c r="R75" s="166" t="s">
        <v>180</v>
      </c>
      <c r="S75" s="166" t="s">
        <v>183</v>
      </c>
      <c r="T75" s="166" t="s">
        <v>8</v>
      </c>
      <c r="U75" s="166" t="s">
        <v>4334</v>
      </c>
      <c r="V75" s="71" t="s">
        <v>4336</v>
      </c>
      <c r="W75" s="32">
        <v>2</v>
      </c>
      <c r="X75" s="32">
        <v>4</v>
      </c>
      <c r="Y75" s="94">
        <v>604</v>
      </c>
      <c r="AA75" s="113"/>
      <c r="AH75" s="20">
        <v>55</v>
      </c>
      <c r="AI75" s="115" t="s">
        <v>4236</v>
      </c>
      <c r="AJ75" s="115">
        <v>232000</v>
      </c>
      <c r="AK75" s="20">
        <v>2</v>
      </c>
      <c r="AL75" s="97">
        <f t="shared" si="33"/>
        <v>708</v>
      </c>
      <c r="AM75" s="115">
        <f>AJ75*AL75</f>
        <v>164256000</v>
      </c>
      <c r="AN75" s="20" t="s">
        <v>4238</v>
      </c>
    </row>
    <row r="76" spans="1:40">
      <c r="D76" s="3"/>
      <c r="E76" s="11" t="s">
        <v>304</v>
      </c>
      <c r="G76" s="94"/>
      <c r="H76" s="94"/>
      <c r="K76" t="s">
        <v>4491</v>
      </c>
      <c r="Q76" s="166">
        <v>0</v>
      </c>
      <c r="R76" s="166" t="s">
        <v>4154</v>
      </c>
      <c r="S76" s="166">
        <f>S103</f>
        <v>739</v>
      </c>
      <c r="T76" s="166"/>
      <c r="U76" s="166"/>
      <c r="V76" s="71"/>
      <c r="W76" s="32"/>
      <c r="X76" s="32"/>
      <c r="Y76" s="94">
        <v>1094</v>
      </c>
      <c r="AA76" s="113"/>
      <c r="AH76" s="20">
        <v>56</v>
      </c>
      <c r="AI76" s="115" t="s">
        <v>4246</v>
      </c>
      <c r="AJ76" s="115">
        <v>-170000</v>
      </c>
      <c r="AK76" s="20">
        <v>3</v>
      </c>
      <c r="AL76" s="97">
        <f t="shared" si="33"/>
        <v>706</v>
      </c>
      <c r="AM76" s="115">
        <f t="shared" si="10"/>
        <v>-120020000</v>
      </c>
      <c r="AN76" s="20"/>
    </row>
    <row r="77" spans="1:40">
      <c r="D77" s="1" t="s">
        <v>305</v>
      </c>
      <c r="E77" s="1">
        <v>70000</v>
      </c>
      <c r="G77" s="94"/>
      <c r="H77" s="94"/>
      <c r="K77" t="s">
        <v>4532</v>
      </c>
      <c r="M77" s="253" t="s">
        <v>4958</v>
      </c>
      <c r="Q77" s="167">
        <v>863944</v>
      </c>
      <c r="R77" s="166" t="s">
        <v>4399</v>
      </c>
      <c r="S77" s="166">
        <f>S76-62</f>
        <v>677</v>
      </c>
      <c r="T77" s="188" t="s">
        <v>4462</v>
      </c>
      <c r="U77" s="166">
        <v>184.6</v>
      </c>
      <c r="V77" s="166">
        <f t="shared" ref="V77:V92" si="34">U77*(1+$R$99+$Q$15*S77/36500)</f>
        <v>283.2765391780822</v>
      </c>
      <c r="W77" s="32">
        <f t="shared" ref="W77:W84" si="35">V77*(1+$W$19/100)</f>
        <v>288.94206996164382</v>
      </c>
      <c r="X77" s="32">
        <f t="shared" ref="X77:X84" si="36">V77*(1+$X$19/100)</f>
        <v>294.6076007452055</v>
      </c>
      <c r="Y77" s="94">
        <v>976</v>
      </c>
      <c r="AA77" s="113"/>
      <c r="AH77" s="20">
        <v>57</v>
      </c>
      <c r="AI77" s="115" t="s">
        <v>4260</v>
      </c>
      <c r="AJ77" s="115">
        <v>-300000</v>
      </c>
      <c r="AK77" s="20">
        <v>3</v>
      </c>
      <c r="AL77" s="97">
        <f t="shared" si="33"/>
        <v>703</v>
      </c>
      <c r="AM77" s="115">
        <f t="shared" si="10"/>
        <v>-210900000</v>
      </c>
      <c r="AN77" s="20"/>
    </row>
    <row r="78" spans="1:40">
      <c r="D78" s="1" t="s">
        <v>321</v>
      </c>
      <c r="E78" s="1">
        <v>100000</v>
      </c>
      <c r="G78" s="94"/>
      <c r="H78" s="94"/>
      <c r="K78" t="s">
        <v>4490</v>
      </c>
      <c r="M78" s="253" t="s">
        <v>4959</v>
      </c>
      <c r="Q78" s="167">
        <v>1692313</v>
      </c>
      <c r="R78" s="166" t="s">
        <v>4465</v>
      </c>
      <c r="S78" s="195">
        <f>S77-21</f>
        <v>656</v>
      </c>
      <c r="T78" s="187" t="s">
        <v>4466</v>
      </c>
      <c r="U78" s="166">
        <v>168.5</v>
      </c>
      <c r="V78" s="166">
        <f t="shared" si="34"/>
        <v>255.8559397260274</v>
      </c>
      <c r="W78" s="32">
        <f t="shared" si="35"/>
        <v>260.97305852054797</v>
      </c>
      <c r="X78" s="32">
        <f t="shared" si="36"/>
        <v>266.0901773150685</v>
      </c>
      <c r="Y78" s="94">
        <v>108344</v>
      </c>
      <c r="Z78" s="113"/>
      <c r="AA78" s="120" t="s">
        <v>25</v>
      </c>
      <c r="AD78" s="113"/>
      <c r="AE78" s="113"/>
      <c r="AH78" s="20">
        <v>58</v>
      </c>
      <c r="AI78" s="115" t="s">
        <v>4269</v>
      </c>
      <c r="AJ78" s="115">
        <v>-11400000</v>
      </c>
      <c r="AK78" s="20">
        <v>13</v>
      </c>
      <c r="AL78" s="97">
        <f t="shared" ref="AL78:AL83" si="37">AL79+AK78</f>
        <v>700</v>
      </c>
      <c r="AM78" s="115">
        <f t="shared" si="10"/>
        <v>-7980000000</v>
      </c>
      <c r="AN78" s="20"/>
    </row>
    <row r="79" spans="1:40">
      <c r="D79" s="1" t="s">
        <v>306</v>
      </c>
      <c r="E79" s="1">
        <v>80000</v>
      </c>
      <c r="G79" s="94"/>
      <c r="H79" s="94"/>
      <c r="K79" s="22" t="s">
        <v>4221</v>
      </c>
      <c r="Q79" s="167">
        <v>101153</v>
      </c>
      <c r="R79" s="166" t="s">
        <v>4468</v>
      </c>
      <c r="S79" s="195">
        <f>S78-1</f>
        <v>655</v>
      </c>
      <c r="T79" s="187" t="s">
        <v>4470</v>
      </c>
      <c r="U79" s="166">
        <v>166.7</v>
      </c>
      <c r="V79" s="166">
        <f t="shared" si="34"/>
        <v>252.99488109589041</v>
      </c>
      <c r="W79" s="32">
        <f t="shared" si="35"/>
        <v>258.05477871780823</v>
      </c>
      <c r="X79" s="32">
        <f t="shared" si="36"/>
        <v>263.11467633972603</v>
      </c>
      <c r="Y79" s="94">
        <v>5468</v>
      </c>
      <c r="Z79" s="113"/>
      <c r="AA79" s="113" t="s">
        <v>25</v>
      </c>
      <c r="AC79" s="113"/>
      <c r="AD79" s="113"/>
      <c r="AE79" s="113"/>
      <c r="AF79"/>
      <c r="AH79" s="20">
        <v>59</v>
      </c>
      <c r="AI79" s="115" t="s">
        <v>4318</v>
      </c>
      <c r="AJ79" s="115">
        <v>-10000000</v>
      </c>
      <c r="AK79" s="20">
        <v>1</v>
      </c>
      <c r="AL79" s="97">
        <f t="shared" si="37"/>
        <v>687</v>
      </c>
      <c r="AM79" s="115">
        <f>AJ79*AL79</f>
        <v>-6870000000</v>
      </c>
      <c r="AN79" s="20"/>
    </row>
    <row r="80" spans="1:40">
      <c r="D80" s="31" t="s">
        <v>307</v>
      </c>
      <c r="E80" s="1">
        <v>150000</v>
      </c>
      <c r="G80" s="94"/>
      <c r="H80" s="94"/>
      <c r="J80" t="s">
        <v>25</v>
      </c>
      <c r="K80" t="s">
        <v>4487</v>
      </c>
      <c r="Q80" s="167">
        <v>183105</v>
      </c>
      <c r="R80" s="166" t="s">
        <v>4209</v>
      </c>
      <c r="S80" s="195">
        <f>S79-1</f>
        <v>654</v>
      </c>
      <c r="T80" s="187" t="s">
        <v>4474</v>
      </c>
      <c r="U80" s="166">
        <v>166.6</v>
      </c>
      <c r="V80" s="166">
        <f t="shared" si="34"/>
        <v>252.71531178082193</v>
      </c>
      <c r="W80" s="32">
        <f t="shared" si="35"/>
        <v>257.76961801643836</v>
      </c>
      <c r="X80" s="32">
        <f t="shared" si="36"/>
        <v>262.82392425205484</v>
      </c>
      <c r="Y80" s="94">
        <v>29619</v>
      </c>
      <c r="Z80" s="113"/>
      <c r="AA80" s="113"/>
      <c r="AC80" s="113"/>
      <c r="AD80" s="113"/>
      <c r="AE80" s="113"/>
      <c r="AF80"/>
      <c r="AH80" s="20">
        <v>60</v>
      </c>
      <c r="AI80" s="115" t="s">
        <v>4319</v>
      </c>
      <c r="AJ80" s="115">
        <v>-2450000</v>
      </c>
      <c r="AK80" s="20">
        <v>5</v>
      </c>
      <c r="AL80" s="97">
        <f t="shared" si="37"/>
        <v>686</v>
      </c>
      <c r="AM80" s="115">
        <f>AJ80*AL80</f>
        <v>-1680700000</v>
      </c>
      <c r="AN80" s="20"/>
    </row>
    <row r="81" spans="4:52" ht="18.75">
      <c r="D81" s="31" t="s">
        <v>308</v>
      </c>
      <c r="E81" s="1">
        <v>300000</v>
      </c>
      <c r="G81" s="94"/>
      <c r="H81" s="94"/>
      <c r="K81" t="s">
        <v>4273</v>
      </c>
      <c r="M81" s="325" t="s">
        <v>5675</v>
      </c>
      <c r="Q81" s="167">
        <v>168846</v>
      </c>
      <c r="R81" s="166" t="s">
        <v>3675</v>
      </c>
      <c r="S81" s="195">
        <f>S80-30</f>
        <v>624</v>
      </c>
      <c r="T81" s="187" t="s">
        <v>4560</v>
      </c>
      <c r="U81" s="166">
        <v>172.2</v>
      </c>
      <c r="V81" s="166">
        <f t="shared" si="34"/>
        <v>257.24698520547946</v>
      </c>
      <c r="W81" s="32">
        <f t="shared" si="35"/>
        <v>262.39192490958908</v>
      </c>
      <c r="X81" s="32">
        <f t="shared" si="36"/>
        <v>267.53686461369864</v>
      </c>
      <c r="Y81" s="94"/>
      <c r="Z81" s="113">
        <v>893</v>
      </c>
      <c r="AA81" s="113"/>
      <c r="AD81" s="113"/>
      <c r="AE81" s="113"/>
      <c r="AF81" s="113"/>
      <c r="AH81" s="20">
        <v>61</v>
      </c>
      <c r="AI81" s="115" t="s">
        <v>4343</v>
      </c>
      <c r="AJ81" s="115">
        <v>-456081</v>
      </c>
      <c r="AK81" s="20">
        <v>1</v>
      </c>
      <c r="AL81" s="97">
        <f t="shared" si="37"/>
        <v>681</v>
      </c>
      <c r="AM81" s="115">
        <f t="shared" si="10"/>
        <v>-310591161</v>
      </c>
      <c r="AN81" s="20"/>
    </row>
    <row r="82" spans="4:52">
      <c r="D82" s="31" t="s">
        <v>309</v>
      </c>
      <c r="E82" s="1">
        <v>100000</v>
      </c>
      <c r="G82" s="94"/>
      <c r="H82" s="94"/>
      <c r="K82" t="s">
        <v>25</v>
      </c>
      <c r="M82" s="191"/>
      <c r="Q82" s="167">
        <v>19918023</v>
      </c>
      <c r="R82" s="5" t="s">
        <v>4793</v>
      </c>
      <c r="S82" s="195">
        <f>S81-75</f>
        <v>549</v>
      </c>
      <c r="T82" s="187" t="s">
        <v>4795</v>
      </c>
      <c r="U82" s="210">
        <v>183</v>
      </c>
      <c r="V82" s="210">
        <f t="shared" si="34"/>
        <v>262.85217534246578</v>
      </c>
      <c r="W82" s="32">
        <f t="shared" si="35"/>
        <v>268.10921884931508</v>
      </c>
      <c r="X82" s="32">
        <f t="shared" si="36"/>
        <v>273.36626235616444</v>
      </c>
      <c r="Y82" s="94"/>
      <c r="Z82" s="113">
        <v>543</v>
      </c>
      <c r="AA82" s="113"/>
      <c r="AB82" s="113"/>
      <c r="AC82" s="113"/>
      <c r="AD82" s="113"/>
      <c r="AE82" s="113"/>
      <c r="AF82" s="113"/>
      <c r="AH82" s="20">
        <v>62</v>
      </c>
      <c r="AI82" s="115" t="s">
        <v>4345</v>
      </c>
      <c r="AJ82" s="115">
        <v>-500000</v>
      </c>
      <c r="AK82" s="20">
        <v>2</v>
      </c>
      <c r="AL82" s="97">
        <f t="shared" si="37"/>
        <v>680</v>
      </c>
      <c r="AM82" s="115">
        <f t="shared" si="10"/>
        <v>-340000000</v>
      </c>
      <c r="AN82" s="20"/>
      <c r="AO82" t="s">
        <v>25</v>
      </c>
      <c r="AU82"/>
      <c r="AW82" t="s">
        <v>25</v>
      </c>
    </row>
    <row r="83" spans="4:52">
      <c r="D83" s="31" t="s">
        <v>310</v>
      </c>
      <c r="E83" s="1">
        <v>200000</v>
      </c>
      <c r="G83" s="94"/>
      <c r="H83" s="94"/>
      <c r="K83" s="94"/>
      <c r="Q83" s="167">
        <v>1200301</v>
      </c>
      <c r="R83" s="19" t="s">
        <v>4876</v>
      </c>
      <c r="S83" s="195">
        <f>S82-34</f>
        <v>515</v>
      </c>
      <c r="T83" s="187" t="s">
        <v>4878</v>
      </c>
      <c r="U83" s="210">
        <v>218.5</v>
      </c>
      <c r="V83" s="210">
        <f t="shared" si="34"/>
        <v>308.14366575342467</v>
      </c>
      <c r="W83" s="32">
        <f t="shared" si="35"/>
        <v>314.30653906849318</v>
      </c>
      <c r="X83" s="32">
        <f t="shared" si="36"/>
        <v>320.46941238356169</v>
      </c>
      <c r="Y83" s="94"/>
      <c r="Z83" s="113">
        <v>83</v>
      </c>
      <c r="AA83" s="113"/>
      <c r="AB83" s="113"/>
      <c r="AC83" s="126"/>
      <c r="AD83" s="113"/>
      <c r="AE83" s="113"/>
      <c r="AF83" s="113"/>
      <c r="AH83" s="20">
        <v>63</v>
      </c>
      <c r="AI83" s="115" t="s">
        <v>4361</v>
      </c>
      <c r="AJ83" s="115">
        <v>-6234370</v>
      </c>
      <c r="AK83" s="20">
        <v>3</v>
      </c>
      <c r="AL83" s="97">
        <f t="shared" si="37"/>
        <v>678</v>
      </c>
      <c r="AM83" s="115">
        <f t="shared" si="10"/>
        <v>-4226902860</v>
      </c>
      <c r="AN83" s="20"/>
      <c r="AU83"/>
    </row>
    <row r="84" spans="4:52">
      <c r="D84" s="18" t="s">
        <v>311</v>
      </c>
      <c r="E84" s="18">
        <v>300000</v>
      </c>
      <c r="K84" s="94"/>
      <c r="Q84" s="167">
        <v>5837196.2537021004</v>
      </c>
      <c r="R84" s="19" t="s">
        <v>4901</v>
      </c>
      <c r="S84" s="195">
        <f>S83-16</f>
        <v>499</v>
      </c>
      <c r="T84" s="187" t="s">
        <v>5706</v>
      </c>
      <c r="U84" s="210">
        <v>196.2</v>
      </c>
      <c r="V84" s="210">
        <f t="shared" si="34"/>
        <v>274.28652493150685</v>
      </c>
      <c r="W84" s="32">
        <f t="shared" si="35"/>
        <v>279.77225543013697</v>
      </c>
      <c r="X84" s="32">
        <f t="shared" si="36"/>
        <v>285.25798592876714</v>
      </c>
      <c r="Z84" s="120">
        <v>129</v>
      </c>
      <c r="AA84" s="113"/>
      <c r="AB84" s="113"/>
      <c r="AC84" s="126"/>
      <c r="AD84" s="113"/>
      <c r="AE84" s="113"/>
      <c r="AF84" s="113"/>
      <c r="AH84" s="20">
        <v>64</v>
      </c>
      <c r="AI84" s="115" t="s">
        <v>4370</v>
      </c>
      <c r="AJ84" s="115">
        <v>1950957</v>
      </c>
      <c r="AK84" s="20">
        <v>4</v>
      </c>
      <c r="AL84" s="97">
        <f t="shared" si="33"/>
        <v>675</v>
      </c>
      <c r="AM84" s="115">
        <f t="shared" si="10"/>
        <v>1316895975</v>
      </c>
      <c r="AN84" s="20"/>
      <c r="AZ84" t="s">
        <v>25</v>
      </c>
    </row>
    <row r="85" spans="4:52">
      <c r="D85" s="32" t="s">
        <v>312</v>
      </c>
      <c r="E85" s="1">
        <v>200000</v>
      </c>
      <c r="F85" s="94"/>
      <c r="G85" s="94"/>
      <c r="H85" s="94"/>
      <c r="I85" s="94"/>
      <c r="J85" s="94"/>
      <c r="K85" s="94"/>
      <c r="Q85" s="167">
        <v>6990657</v>
      </c>
      <c r="R85" s="19" t="s">
        <v>5393</v>
      </c>
      <c r="S85" s="195">
        <f>S84-286</f>
        <v>213</v>
      </c>
      <c r="T85" s="187" t="s">
        <v>5398</v>
      </c>
      <c r="U85" s="210">
        <v>7792.9</v>
      </c>
      <c r="V85" s="210">
        <f t="shared" si="34"/>
        <v>9184.6905895890413</v>
      </c>
      <c r="W85" s="32">
        <f t="shared" ref="W85:W94" si="38">V85*(1+$W$19/100)</f>
        <v>9368.384401380823</v>
      </c>
      <c r="X85" s="32">
        <f t="shared" ref="X85:X94" si="39">V85*(1+$X$19/100)</f>
        <v>9552.0782131726028</v>
      </c>
      <c r="Z85" s="120">
        <v>306</v>
      </c>
      <c r="AA85" s="113"/>
      <c r="AB85" s="113"/>
      <c r="AC85" s="126"/>
      <c r="AD85" s="113"/>
      <c r="AE85" s="113"/>
      <c r="AF85" s="113"/>
      <c r="AH85" s="20">
        <v>65</v>
      </c>
      <c r="AI85" s="115" t="s">
        <v>4393</v>
      </c>
      <c r="AJ85" s="115">
        <v>600000</v>
      </c>
      <c r="AK85" s="20">
        <v>5</v>
      </c>
      <c r="AL85" s="97">
        <f t="shared" si="33"/>
        <v>671</v>
      </c>
      <c r="AM85" s="115">
        <f t="shared" si="10"/>
        <v>402600000</v>
      </c>
      <c r="AN85" s="20"/>
    </row>
    <row r="86" spans="4:52">
      <c r="D86" s="32" t="s">
        <v>313</v>
      </c>
      <c r="E86" s="1">
        <v>20000</v>
      </c>
      <c r="F86" s="94"/>
      <c r="G86" s="94"/>
      <c r="H86" s="94"/>
      <c r="I86" s="94"/>
      <c r="J86" s="94"/>
      <c r="K86" s="94"/>
      <c r="M86" s="94"/>
      <c r="N86" s="94"/>
      <c r="Q86" s="167">
        <v>4411104</v>
      </c>
      <c r="R86" s="19" t="s">
        <v>5399</v>
      </c>
      <c r="S86" s="195">
        <f>S85-2</f>
        <v>211</v>
      </c>
      <c r="T86" s="187" t="s">
        <v>5402</v>
      </c>
      <c r="U86" s="210">
        <v>8086.9</v>
      </c>
      <c r="V86" s="210">
        <f t="shared" si="34"/>
        <v>9518.7908854794514</v>
      </c>
      <c r="W86" s="32">
        <f t="shared" si="38"/>
        <v>9709.1667031890411</v>
      </c>
      <c r="X86" s="32">
        <f t="shared" si="39"/>
        <v>9899.5425208986289</v>
      </c>
      <c r="Y86" s="94"/>
      <c r="AB86" s="113"/>
      <c r="AC86" s="126"/>
      <c r="AD86" s="113"/>
      <c r="AE86" s="113"/>
      <c r="AF86" s="113"/>
      <c r="AH86" s="20">
        <v>66</v>
      </c>
      <c r="AI86" s="115" t="s">
        <v>4401</v>
      </c>
      <c r="AJ86" s="115">
        <v>7500000</v>
      </c>
      <c r="AK86" s="20">
        <v>2</v>
      </c>
      <c r="AL86" s="97">
        <f t="shared" si="33"/>
        <v>666</v>
      </c>
      <c r="AM86" s="115">
        <f t="shared" si="10"/>
        <v>4995000000</v>
      </c>
      <c r="AN86" s="20"/>
      <c r="AS86" s="94"/>
    </row>
    <row r="87" spans="4:52">
      <c r="D87" s="32" t="s">
        <v>315</v>
      </c>
      <c r="E87" s="1">
        <v>50000</v>
      </c>
      <c r="F87" s="94"/>
      <c r="G87" s="94"/>
      <c r="H87" s="94"/>
      <c r="I87" s="94"/>
      <c r="J87" s="94" t="s">
        <v>25</v>
      </c>
      <c r="K87" s="94"/>
      <c r="L87" s="94"/>
      <c r="M87" s="94"/>
      <c r="N87" s="94"/>
      <c r="Q87" s="167">
        <v>750391</v>
      </c>
      <c r="R87" s="19" t="s">
        <v>5469</v>
      </c>
      <c r="S87" s="195">
        <f>S86-50</f>
        <v>161</v>
      </c>
      <c r="T87" s="187" t="s">
        <v>5470</v>
      </c>
      <c r="U87" s="210">
        <v>9000</v>
      </c>
      <c r="V87" s="210">
        <f t="shared" si="34"/>
        <v>10248.361643835617</v>
      </c>
      <c r="W87" s="32">
        <f t="shared" si="38"/>
        <v>10453.328876712329</v>
      </c>
      <c r="X87" s="32">
        <f t="shared" si="39"/>
        <v>10658.296109589042</v>
      </c>
      <c r="Y87" s="94" t="s">
        <v>25</v>
      </c>
      <c r="Z87">
        <v>1908</v>
      </c>
      <c r="AB87" s="113"/>
      <c r="AC87" s="126"/>
      <c r="AD87" s="113"/>
      <c r="AE87" s="113"/>
      <c r="AF87" s="113"/>
      <c r="AH87" s="20">
        <v>67</v>
      </c>
      <c r="AI87" s="115" t="s">
        <v>4405</v>
      </c>
      <c r="AJ87" s="115">
        <v>-587816</v>
      </c>
      <c r="AK87" s="20">
        <v>3</v>
      </c>
      <c r="AL87" s="97">
        <f t="shared" si="33"/>
        <v>664</v>
      </c>
      <c r="AM87" s="115">
        <f t="shared" si="10"/>
        <v>-390309824</v>
      </c>
      <c r="AN87" s="20"/>
      <c r="AS87" s="94"/>
    </row>
    <row r="88" spans="4:52">
      <c r="D88" s="32" t="s">
        <v>316</v>
      </c>
      <c r="E88" s="1">
        <v>90000</v>
      </c>
      <c r="F88" s="94"/>
      <c r="G88" s="94"/>
      <c r="H88" s="94"/>
      <c r="I88" s="94"/>
      <c r="J88" s="94"/>
      <c r="K88" s="94"/>
      <c r="L88" s="94"/>
      <c r="Q88" s="167">
        <v>1386553</v>
      </c>
      <c r="R88" s="19" t="s">
        <v>5479</v>
      </c>
      <c r="S88" s="195">
        <f>S87-6</f>
        <v>155</v>
      </c>
      <c r="T88" s="187" t="s">
        <v>5546</v>
      </c>
      <c r="U88" s="210">
        <v>10699.9</v>
      </c>
      <c r="V88" s="210">
        <f t="shared" si="34"/>
        <v>12134.800562191782</v>
      </c>
      <c r="W88" s="32">
        <f t="shared" si="38"/>
        <v>12377.496573435617</v>
      </c>
      <c r="X88" s="32">
        <f t="shared" si="39"/>
        <v>12620.192584679453</v>
      </c>
      <c r="Y88" s="94"/>
      <c r="AB88" s="113"/>
      <c r="AC88" s="126"/>
      <c r="AD88" s="113"/>
      <c r="AE88" s="113"/>
      <c r="AF88" s="113"/>
      <c r="AH88" s="20">
        <v>68</v>
      </c>
      <c r="AI88" s="115" t="s">
        <v>4404</v>
      </c>
      <c r="AJ88" s="115">
        <v>-907489</v>
      </c>
      <c r="AK88" s="20">
        <v>0</v>
      </c>
      <c r="AL88" s="97">
        <f>AL89+AK88</f>
        <v>661</v>
      </c>
      <c r="AM88" s="115">
        <f t="shared" si="10"/>
        <v>-599850229</v>
      </c>
      <c r="AN88" s="20"/>
      <c r="AP88" t="s">
        <v>25</v>
      </c>
      <c r="AV88" t="s">
        <v>25</v>
      </c>
    </row>
    <row r="89" spans="4:52">
      <c r="D89" s="32" t="s">
        <v>317</v>
      </c>
      <c r="E89" s="1">
        <v>50000</v>
      </c>
      <c r="F89" s="94"/>
      <c r="G89" s="94"/>
      <c r="H89" s="94"/>
      <c r="I89" s="94"/>
      <c r="J89" s="94"/>
      <c r="K89" s="94"/>
      <c r="P89" t="s">
        <v>25</v>
      </c>
      <c r="Q89" s="167">
        <v>5621614</v>
      </c>
      <c r="R89" s="19" t="s">
        <v>5623</v>
      </c>
      <c r="S89" s="195">
        <f>S88-77</f>
        <v>78</v>
      </c>
      <c r="T89" s="187" t="s">
        <v>5625</v>
      </c>
      <c r="U89" s="210">
        <v>18288.3</v>
      </c>
      <c r="V89" s="210">
        <f t="shared" si="34"/>
        <v>19660.573864109592</v>
      </c>
      <c r="W89" s="32">
        <f t="shared" si="38"/>
        <v>20053.785341391784</v>
      </c>
      <c r="X89" s="32">
        <f t="shared" si="39"/>
        <v>20446.996818673975</v>
      </c>
      <c r="Y89" s="94"/>
      <c r="AB89" s="113"/>
      <c r="AC89" s="113"/>
      <c r="AD89" s="113"/>
      <c r="AE89" s="113"/>
      <c r="AF89" s="113"/>
      <c r="AG89" s="113"/>
      <c r="AH89" s="20">
        <v>69</v>
      </c>
      <c r="AI89" s="115" t="s">
        <v>4404</v>
      </c>
      <c r="AJ89" s="115">
        <v>2450000</v>
      </c>
      <c r="AK89" s="20">
        <v>1</v>
      </c>
      <c r="AL89" s="97">
        <f t="shared" si="33"/>
        <v>661</v>
      </c>
      <c r="AM89" s="115">
        <f t="shared" si="10"/>
        <v>1619450000</v>
      </c>
      <c r="AN89" s="20" t="s">
        <v>4436</v>
      </c>
      <c r="AQ89" t="s">
        <v>25</v>
      </c>
      <c r="AR89" t="s">
        <v>25</v>
      </c>
    </row>
    <row r="90" spans="4:52">
      <c r="D90" s="32" t="s">
        <v>327</v>
      </c>
      <c r="E90" s="1">
        <v>150000</v>
      </c>
      <c r="F90" s="94"/>
      <c r="G90" s="94"/>
      <c r="H90" s="94"/>
      <c r="I90" s="94"/>
      <c r="J90" s="94"/>
      <c r="K90" s="94" t="s">
        <v>25</v>
      </c>
      <c r="P90" s="113"/>
      <c r="Q90" s="167">
        <v>10001487</v>
      </c>
      <c r="R90" s="19" t="s">
        <v>5664</v>
      </c>
      <c r="S90" s="195">
        <f>S89-21</f>
        <v>57</v>
      </c>
      <c r="T90" s="187" t="s">
        <v>5665</v>
      </c>
      <c r="U90" s="210">
        <v>15330</v>
      </c>
      <c r="V90" s="210">
        <f t="shared" si="34"/>
        <v>16233.335999999999</v>
      </c>
      <c r="W90" s="32">
        <f t="shared" si="38"/>
        <v>16558.00272</v>
      </c>
      <c r="X90" s="32">
        <f t="shared" si="39"/>
        <v>16882.669440000001</v>
      </c>
      <c r="Y90" s="94"/>
      <c r="AB90" s="113"/>
      <c r="AC90" s="113"/>
      <c r="AD90" s="113"/>
      <c r="AE90"/>
      <c r="AG90" s="113"/>
      <c r="AH90" s="20">
        <v>70</v>
      </c>
      <c r="AI90" s="115" t="s">
        <v>4438</v>
      </c>
      <c r="AJ90" s="115">
        <v>1500000</v>
      </c>
      <c r="AK90" s="20">
        <v>1</v>
      </c>
      <c r="AL90" s="97">
        <f t="shared" si="33"/>
        <v>660</v>
      </c>
      <c r="AM90" s="115">
        <f t="shared" si="10"/>
        <v>990000000</v>
      </c>
      <c r="AN90" s="20"/>
      <c r="AP90" t="s">
        <v>25</v>
      </c>
      <c r="AU90" s="94" t="s">
        <v>25</v>
      </c>
    </row>
    <row r="91" spans="4:52">
      <c r="D91" s="32" t="s">
        <v>318</v>
      </c>
      <c r="E91" s="1">
        <v>15000</v>
      </c>
      <c r="F91" s="94"/>
      <c r="G91" s="94"/>
      <c r="H91" s="94"/>
      <c r="I91" s="94"/>
      <c r="J91" s="94"/>
      <c r="K91" s="94" t="s">
        <v>25</v>
      </c>
      <c r="L91" t="s">
        <v>25</v>
      </c>
      <c r="P91" s="126"/>
      <c r="Q91" s="167">
        <v>35631257</v>
      </c>
      <c r="R91" s="19" t="s">
        <v>5664</v>
      </c>
      <c r="S91" s="195">
        <f>S90</f>
        <v>57</v>
      </c>
      <c r="T91" s="187" t="s">
        <v>5666</v>
      </c>
      <c r="U91" s="210">
        <v>18610</v>
      </c>
      <c r="V91" s="210">
        <f t="shared" si="34"/>
        <v>19706.613369863015</v>
      </c>
      <c r="W91" s="32">
        <f t="shared" si="38"/>
        <v>20100.745637260276</v>
      </c>
      <c r="X91" s="32">
        <f t="shared" si="39"/>
        <v>20494.877904657536</v>
      </c>
      <c r="Y91" s="94"/>
      <c r="AE91"/>
      <c r="AG91" s="94"/>
      <c r="AH91" s="20">
        <v>71</v>
      </c>
      <c r="AI91" s="115" t="s">
        <v>4444</v>
      </c>
      <c r="AJ91" s="115">
        <v>2648000</v>
      </c>
      <c r="AK91" s="20">
        <v>1</v>
      </c>
      <c r="AL91" s="97">
        <f t="shared" si="33"/>
        <v>659</v>
      </c>
      <c r="AM91" s="115">
        <f t="shared" si="10"/>
        <v>1745032000</v>
      </c>
      <c r="AN91" s="20" t="s">
        <v>4445</v>
      </c>
      <c r="AU91" s="94" t="s">
        <v>25</v>
      </c>
    </row>
    <row r="92" spans="4:52">
      <c r="D92" s="32" t="s">
        <v>319</v>
      </c>
      <c r="E92" s="1">
        <v>20000</v>
      </c>
      <c r="F92" s="94"/>
      <c r="G92" s="94"/>
      <c r="H92" s="94"/>
      <c r="I92" s="94" t="s">
        <v>25</v>
      </c>
      <c r="J92" s="94" t="s">
        <v>25</v>
      </c>
      <c r="K92" s="94" t="s">
        <v>25</v>
      </c>
      <c r="P92" s="126"/>
      <c r="Q92" s="167">
        <v>2948152</v>
      </c>
      <c r="R92" s="19" t="s">
        <v>5751</v>
      </c>
      <c r="S92" s="195">
        <f>S91-56</f>
        <v>1</v>
      </c>
      <c r="T92" s="187" t="s">
        <v>5752</v>
      </c>
      <c r="U92" s="210">
        <v>1550</v>
      </c>
      <c r="V92" s="210">
        <f t="shared" si="34"/>
        <v>1574.7490410958903</v>
      </c>
      <c r="W92" s="32">
        <f t="shared" si="38"/>
        <v>1606.2440219178081</v>
      </c>
      <c r="X92" s="32">
        <f t="shared" si="39"/>
        <v>1637.7390027397259</v>
      </c>
      <c r="Y92" s="94"/>
      <c r="AE92"/>
      <c r="AG92" s="94"/>
      <c r="AH92" s="20">
        <v>72</v>
      </c>
      <c r="AI92" s="115" t="s">
        <v>4210</v>
      </c>
      <c r="AJ92" s="115">
        <v>615000</v>
      </c>
      <c r="AK92" s="20">
        <v>4</v>
      </c>
      <c r="AL92" s="97">
        <f t="shared" si="33"/>
        <v>658</v>
      </c>
      <c r="AM92" s="115">
        <f t="shared" si="10"/>
        <v>404670000</v>
      </c>
      <c r="AN92" s="20"/>
      <c r="AV92" t="s">
        <v>25</v>
      </c>
    </row>
    <row r="93" spans="4:52">
      <c r="D93" s="32" t="s">
        <v>320</v>
      </c>
      <c r="E93" s="1">
        <v>40000</v>
      </c>
      <c r="F93" s="94"/>
      <c r="G93" s="94"/>
      <c r="H93" s="94"/>
      <c r="I93" s="94"/>
      <c r="J93" s="94" t="s">
        <v>25</v>
      </c>
      <c r="K93" s="94" t="s">
        <v>25</v>
      </c>
      <c r="M93" s="94"/>
      <c r="N93" s="94"/>
      <c r="P93" s="113"/>
      <c r="Q93" s="167"/>
      <c r="R93" s="19"/>
      <c r="S93" s="195"/>
      <c r="T93" s="187"/>
      <c r="U93" s="210"/>
      <c r="V93" s="210"/>
      <c r="W93" s="32"/>
      <c r="X93" s="32"/>
      <c r="Y93" s="94"/>
      <c r="AE93"/>
      <c r="AG93" s="94"/>
      <c r="AH93" s="20">
        <v>73</v>
      </c>
      <c r="AI93" s="115" t="s">
        <v>4455</v>
      </c>
      <c r="AJ93" s="115">
        <v>14000000</v>
      </c>
      <c r="AK93" s="20">
        <v>2</v>
      </c>
      <c r="AL93" s="97">
        <f>AL94+AK93</f>
        <v>654</v>
      </c>
      <c r="AM93" s="115">
        <f t="shared" si="10"/>
        <v>9156000000</v>
      </c>
      <c r="AN93" s="20"/>
    </row>
    <row r="94" spans="4:52">
      <c r="D94" s="32" t="s">
        <v>322</v>
      </c>
      <c r="E94" s="1">
        <v>150000</v>
      </c>
      <c r="F94" s="94"/>
      <c r="G94" s="94"/>
      <c r="H94" s="94"/>
      <c r="I94" s="94"/>
      <c r="J94" s="94" t="s">
        <v>25</v>
      </c>
      <c r="K94" s="94" t="s">
        <v>25</v>
      </c>
      <c r="L94" s="94"/>
      <c r="M94" s="94"/>
      <c r="N94" s="94"/>
      <c r="Q94" s="167"/>
      <c r="R94" s="166"/>
      <c r="S94" s="111"/>
      <c r="T94" s="111"/>
      <c r="U94" s="166" t="s">
        <v>25</v>
      </c>
      <c r="V94" s="210" t="e">
        <f>U94*(1+$R$99+$Q$15*S94/36500)</f>
        <v>#VALUE!</v>
      </c>
      <c r="W94" s="32" t="e">
        <f t="shared" si="38"/>
        <v>#VALUE!</v>
      </c>
      <c r="X94" s="32" t="e">
        <f t="shared" si="39"/>
        <v>#VALUE!</v>
      </c>
      <c r="AH94" s="20">
        <v>74</v>
      </c>
      <c r="AI94" s="115" t="s">
        <v>4459</v>
      </c>
      <c r="AJ94" s="115">
        <v>1313000</v>
      </c>
      <c r="AK94" s="20">
        <v>0</v>
      </c>
      <c r="AL94" s="97">
        <f>AL95+AK94</f>
        <v>652</v>
      </c>
      <c r="AM94" s="115">
        <f t="shared" si="10"/>
        <v>856076000</v>
      </c>
      <c r="AN94" s="20"/>
      <c r="AQ94" t="s">
        <v>25</v>
      </c>
    </row>
    <row r="95" spans="4:52">
      <c r="D95" s="32" t="s">
        <v>324</v>
      </c>
      <c r="E95" s="1">
        <v>75000</v>
      </c>
      <c r="F95" s="94"/>
      <c r="G95" s="94"/>
      <c r="H95" s="94"/>
      <c r="I95" s="94"/>
      <c r="J95" s="94" t="s">
        <v>25</v>
      </c>
      <c r="K95" s="94"/>
      <c r="L95" s="94"/>
      <c r="M95" s="94"/>
      <c r="N95" s="94"/>
      <c r="Q95" s="111">
        <f>SUM(N26:N28)-SUM(Q76:Q94)</f>
        <v>181892010.7462979</v>
      </c>
      <c r="R95" s="166"/>
      <c r="S95" s="166"/>
      <c r="T95" s="166"/>
      <c r="U95" s="166"/>
      <c r="V95" s="166"/>
      <c r="W95" s="32"/>
      <c r="X95" s="32"/>
      <c r="Y95" s="94"/>
      <c r="AH95" s="97">
        <v>75</v>
      </c>
      <c r="AI95" s="111" t="s">
        <v>4459</v>
      </c>
      <c r="AJ95" s="111">
        <v>2269000</v>
      </c>
      <c r="AK95" s="97">
        <v>1</v>
      </c>
      <c r="AL95" s="97">
        <f t="shared" ref="AL95:AL120" si="40">AL96+AK95</f>
        <v>652</v>
      </c>
      <c r="AM95" s="115">
        <f t="shared" si="10"/>
        <v>1479388000</v>
      </c>
      <c r="AN95" s="97"/>
    </row>
    <row r="96" spans="4:52">
      <c r="D96" s="32" t="s">
        <v>314</v>
      </c>
      <c r="E96" s="1">
        <v>140000</v>
      </c>
      <c r="F96" s="94"/>
      <c r="G96" s="94"/>
      <c r="H96" s="94"/>
      <c r="I96" s="94"/>
      <c r="J96" s="94" t="s">
        <v>25</v>
      </c>
      <c r="K96" t="s">
        <v>25</v>
      </c>
      <c r="L96" s="94"/>
      <c r="M96" s="94"/>
      <c r="N96" s="94"/>
      <c r="R96" s="113"/>
      <c r="S96" s="113"/>
      <c r="T96" s="113" t="s">
        <v>25</v>
      </c>
      <c r="U96" s="113" t="s">
        <v>25</v>
      </c>
      <c r="V96" s="113" t="s">
        <v>25</v>
      </c>
      <c r="W96" s="192" t="s">
        <v>25</v>
      </c>
      <c r="X96" s="192"/>
      <c r="Y96" s="94"/>
      <c r="AH96" s="97">
        <v>76</v>
      </c>
      <c r="AI96" s="111" t="s">
        <v>4211</v>
      </c>
      <c r="AJ96" s="111">
        <v>750000</v>
      </c>
      <c r="AK96" s="97">
        <v>4</v>
      </c>
      <c r="AL96" s="97">
        <f t="shared" si="40"/>
        <v>651</v>
      </c>
      <c r="AM96" s="115">
        <f t="shared" si="10"/>
        <v>488250000</v>
      </c>
      <c r="AN96" s="97"/>
      <c r="AQ96" t="s">
        <v>25</v>
      </c>
    </row>
    <row r="97" spans="4:47">
      <c r="D97" s="2" t="s">
        <v>477</v>
      </c>
      <c r="E97" s="3">
        <v>1083333</v>
      </c>
      <c r="J97" t="s">
        <v>25</v>
      </c>
      <c r="Q97" s="97" t="s">
        <v>934</v>
      </c>
      <c r="R97" s="97">
        <v>1.03E-2</v>
      </c>
      <c r="S97" s="26" t="s">
        <v>25</v>
      </c>
      <c r="T97" t="s">
        <v>25</v>
      </c>
      <c r="U97" s="94" t="s">
        <v>25</v>
      </c>
      <c r="V97" s="113" t="s">
        <v>25</v>
      </c>
      <c r="W97" s="192" t="s">
        <v>25</v>
      </c>
      <c r="X97" s="192"/>
      <c r="AH97" s="97">
        <v>77</v>
      </c>
      <c r="AI97" s="111" t="s">
        <v>4465</v>
      </c>
      <c r="AJ97" s="111">
        <v>1900000</v>
      </c>
      <c r="AK97" s="97">
        <v>3</v>
      </c>
      <c r="AL97" s="97">
        <f t="shared" si="40"/>
        <v>647</v>
      </c>
      <c r="AM97" s="115">
        <f t="shared" si="10"/>
        <v>1229300000</v>
      </c>
      <c r="AN97" s="97"/>
    </row>
    <row r="98" spans="4:47">
      <c r="D98" s="2"/>
      <c r="E98" s="3"/>
      <c r="Q98" s="97" t="s">
        <v>61</v>
      </c>
      <c r="R98" s="97">
        <v>4.8999999999999998E-3</v>
      </c>
      <c r="T98" s="112" t="s">
        <v>25</v>
      </c>
      <c r="U98" s="94" t="s">
        <v>25</v>
      </c>
      <c r="V98" t="s">
        <v>25</v>
      </c>
      <c r="W98" s="192" t="s">
        <v>25</v>
      </c>
      <c r="X98" s="192" t="s">
        <v>25</v>
      </c>
      <c r="AA98" t="s">
        <v>25</v>
      </c>
      <c r="AH98" s="97">
        <v>78</v>
      </c>
      <c r="AI98" s="111" t="s">
        <v>4478</v>
      </c>
      <c r="AJ98" s="111">
        <v>6400000</v>
      </c>
      <c r="AK98" s="97">
        <v>1</v>
      </c>
      <c r="AL98" s="97">
        <f t="shared" si="40"/>
        <v>644</v>
      </c>
      <c r="AM98" s="115">
        <f t="shared" si="10"/>
        <v>4121600000</v>
      </c>
      <c r="AN98" s="97"/>
    </row>
    <row r="99" spans="4:47">
      <c r="D99" s="2"/>
      <c r="E99" s="3"/>
      <c r="F99" s="210" t="s">
        <v>4624</v>
      </c>
      <c r="G99" s="210" t="s">
        <v>926</v>
      </c>
      <c r="H99" s="210" t="s">
        <v>4617</v>
      </c>
      <c r="I99" s="210" t="s">
        <v>4616</v>
      </c>
      <c r="J99" s="32" t="s">
        <v>4492</v>
      </c>
      <c r="K99" s="210" t="s">
        <v>4610</v>
      </c>
      <c r="L99" s="32" t="s">
        <v>4612</v>
      </c>
      <c r="M99" s="32" t="s">
        <v>4587</v>
      </c>
      <c r="N99" s="210" t="s">
        <v>4588</v>
      </c>
      <c r="Q99" s="97" t="s">
        <v>6</v>
      </c>
      <c r="R99" s="97">
        <f>R97+R98</f>
        <v>1.52E-2</v>
      </c>
      <c r="T99" t="s">
        <v>25</v>
      </c>
      <c r="U99" s="94" t="s">
        <v>25</v>
      </c>
      <c r="V99" t="s">
        <v>25</v>
      </c>
      <c r="W99" s="192"/>
      <c r="X99" s="192"/>
      <c r="AA99" t="s">
        <v>25</v>
      </c>
      <c r="AH99" s="97">
        <v>79</v>
      </c>
      <c r="AI99" s="111" t="s">
        <v>4476</v>
      </c>
      <c r="AJ99" s="111">
        <v>5000</v>
      </c>
      <c r="AK99" s="97">
        <v>5</v>
      </c>
      <c r="AL99" s="97">
        <f t="shared" si="40"/>
        <v>643</v>
      </c>
      <c r="AM99" s="115">
        <f t="shared" si="10"/>
        <v>3215000</v>
      </c>
      <c r="AN99" s="97"/>
      <c r="AP99" t="s">
        <v>25</v>
      </c>
    </row>
    <row r="100" spans="4:47">
      <c r="D100" s="2" t="s">
        <v>6</v>
      </c>
      <c r="E100" s="3">
        <f>SUM(E77:E98)</f>
        <v>3383333</v>
      </c>
      <c r="F100" s="197">
        <f>$L$108/G100</f>
        <v>10644.910644910646</v>
      </c>
      <c r="G100" s="197">
        <f>P45</f>
        <v>1287</v>
      </c>
      <c r="H100" s="197" t="s">
        <v>4717</v>
      </c>
      <c r="I100" s="197" t="s">
        <v>5340</v>
      </c>
      <c r="J100" s="211" t="s">
        <v>4221</v>
      </c>
      <c r="K100" s="197">
        <v>210</v>
      </c>
      <c r="L100" s="212">
        <f t="shared" ref="L100:L105" si="41">K100*$L$108</f>
        <v>2877000000</v>
      </c>
      <c r="M100" s="212">
        <f>N21+N28+N45+N41</f>
        <v>6462244658</v>
      </c>
      <c r="N100" s="181">
        <f t="shared" ref="N100:N105" si="42">L100-M100</f>
        <v>-3585244658</v>
      </c>
      <c r="P100" s="94"/>
      <c r="W100" s="192"/>
      <c r="X100" s="192"/>
      <c r="AH100" s="97">
        <v>80</v>
      </c>
      <c r="AI100" s="111" t="s">
        <v>4507</v>
      </c>
      <c r="AJ100" s="111">
        <v>-1750148</v>
      </c>
      <c r="AK100" s="97">
        <v>1</v>
      </c>
      <c r="AL100" s="97">
        <f t="shared" si="40"/>
        <v>638</v>
      </c>
      <c r="AM100" s="115">
        <f t="shared" si="10"/>
        <v>-1116594424</v>
      </c>
      <c r="AN100" s="97"/>
    </row>
    <row r="101" spans="4:47" ht="30">
      <c r="D101" s="2" t="s">
        <v>328</v>
      </c>
      <c r="E101" s="3">
        <f>E100/30</f>
        <v>112777.76666666666</v>
      </c>
      <c r="F101" s="210">
        <v>0</v>
      </c>
      <c r="G101" s="210">
        <f>P44</f>
        <v>15700</v>
      </c>
      <c r="H101" s="210" t="s">
        <v>4879</v>
      </c>
      <c r="I101" s="210" t="s">
        <v>5341</v>
      </c>
      <c r="J101" s="32" t="s">
        <v>4363</v>
      </c>
      <c r="K101" s="210">
        <v>33</v>
      </c>
      <c r="L101" s="1">
        <f t="shared" si="41"/>
        <v>452100000</v>
      </c>
      <c r="M101" s="1">
        <f>N44+N26+N22</f>
        <v>1657810100</v>
      </c>
      <c r="N101" s="111">
        <f t="shared" si="42"/>
        <v>-1205710100</v>
      </c>
      <c r="P101" s="94"/>
      <c r="Q101" s="71" t="s">
        <v>4272</v>
      </c>
      <c r="R101" s="110"/>
      <c r="S101" s="110"/>
      <c r="T101" s="110"/>
      <c r="U101" s="166" t="s">
        <v>4334</v>
      </c>
      <c r="V101" s="36" t="s">
        <v>4336</v>
      </c>
      <c r="W101" s="32"/>
      <c r="X101" s="32"/>
      <c r="AH101" s="97">
        <v>81</v>
      </c>
      <c r="AI101" s="111" t="s">
        <v>4510</v>
      </c>
      <c r="AJ101" s="111">
        <v>400000</v>
      </c>
      <c r="AK101" s="97">
        <v>0</v>
      </c>
      <c r="AL101" s="97">
        <f t="shared" si="40"/>
        <v>637</v>
      </c>
      <c r="AM101" s="115">
        <f t="shared" si="10"/>
        <v>254800000</v>
      </c>
      <c r="AN101" s="97"/>
    </row>
    <row r="102" spans="4:47">
      <c r="F102" s="197">
        <v>0</v>
      </c>
      <c r="G102" s="197">
        <f>P43</f>
        <v>14800</v>
      </c>
      <c r="H102" s="197" t="s">
        <v>4997</v>
      </c>
      <c r="I102" s="197" t="s">
        <v>5342</v>
      </c>
      <c r="J102" s="211" t="s">
        <v>4359</v>
      </c>
      <c r="K102" s="197">
        <v>0</v>
      </c>
      <c r="L102" s="212">
        <f t="shared" si="41"/>
        <v>0</v>
      </c>
      <c r="M102" s="212">
        <f>N43+N23</f>
        <v>367794800</v>
      </c>
      <c r="N102" s="181">
        <f t="shared" si="42"/>
        <v>-367794800</v>
      </c>
      <c r="P102" s="94"/>
      <c r="Q102" s="110" t="s">
        <v>267</v>
      </c>
      <c r="R102" s="110" t="s">
        <v>180</v>
      </c>
      <c r="S102" s="110" t="s">
        <v>183</v>
      </c>
      <c r="T102" s="110" t="s">
        <v>8</v>
      </c>
      <c r="U102" s="166"/>
      <c r="V102" s="97"/>
      <c r="W102" s="32">
        <v>2</v>
      </c>
      <c r="X102" s="32">
        <v>4</v>
      </c>
      <c r="AH102" s="97">
        <v>82</v>
      </c>
      <c r="AI102" s="111" t="s">
        <v>4510</v>
      </c>
      <c r="AJ102" s="111">
        <v>-2105421</v>
      </c>
      <c r="AK102" s="97">
        <v>1</v>
      </c>
      <c r="AL102" s="97">
        <f t="shared" si="40"/>
        <v>637</v>
      </c>
      <c r="AM102" s="115">
        <f t="shared" si="10"/>
        <v>-1341153177</v>
      </c>
      <c r="AN102" s="97"/>
      <c r="AO102" t="s">
        <v>25</v>
      </c>
    </row>
    <row r="103" spans="4:47">
      <c r="F103" s="187"/>
      <c r="G103" s="187"/>
      <c r="H103" s="187"/>
      <c r="I103" s="187"/>
      <c r="J103" s="277" t="s">
        <v>5343</v>
      </c>
      <c r="K103" s="187">
        <v>0</v>
      </c>
      <c r="L103" s="278">
        <f t="shared" si="41"/>
        <v>0</v>
      </c>
      <c r="M103" s="278">
        <f>N20+N25+N39</f>
        <v>35407</v>
      </c>
      <c r="N103" s="186">
        <f t="shared" si="42"/>
        <v>-35407</v>
      </c>
      <c r="P103" s="94"/>
      <c r="Q103" s="35">
        <v>38474780.062005915</v>
      </c>
      <c r="R103" s="5" t="s">
        <v>4154</v>
      </c>
      <c r="S103" s="5">
        <v>739</v>
      </c>
      <c r="T103" s="5" t="s">
        <v>5672</v>
      </c>
      <c r="U103" s="166">
        <v>192</v>
      </c>
      <c r="V103" s="97">
        <f t="shared" ref="V103:V125" si="43">U103*(1+$R$99+$Q$15*S103/36500)</f>
        <v>303.7639890410959</v>
      </c>
      <c r="W103" s="32">
        <f t="shared" ref="W103" si="44">V103*(1+$W$19/100)</f>
        <v>309.83926882191781</v>
      </c>
      <c r="X103" s="32">
        <f t="shared" ref="X103" si="45">V103*(1+$X$19/100)</f>
        <v>315.91454860273973</v>
      </c>
      <c r="Y103" s="94">
        <v>200000</v>
      </c>
      <c r="AH103" s="97">
        <v>83</v>
      </c>
      <c r="AI103" s="111" t="s">
        <v>4513</v>
      </c>
      <c r="AJ103" s="111">
        <v>-5527618</v>
      </c>
      <c r="AK103" s="97">
        <v>0</v>
      </c>
      <c r="AL103" s="97">
        <f t="shared" si="40"/>
        <v>636</v>
      </c>
      <c r="AM103" s="115">
        <f t="shared" si="10"/>
        <v>-3515565048</v>
      </c>
      <c r="AN103" s="97"/>
    </row>
    <row r="104" spans="4:47">
      <c r="F104" s="197"/>
      <c r="G104" s="197"/>
      <c r="H104" s="197"/>
      <c r="I104" s="197"/>
      <c r="J104" s="211" t="s">
        <v>314</v>
      </c>
      <c r="K104" s="197">
        <v>1</v>
      </c>
      <c r="L104" s="212">
        <f t="shared" si="41"/>
        <v>13700000</v>
      </c>
      <c r="M104" s="212">
        <v>0</v>
      </c>
      <c r="N104" s="181">
        <f t="shared" si="42"/>
        <v>13700000</v>
      </c>
      <c r="Q104" s="167">
        <v>7032.8</v>
      </c>
      <c r="R104" s="210" t="s">
        <v>5268</v>
      </c>
      <c r="S104" s="210">
        <f>S103-480</f>
        <v>259</v>
      </c>
      <c r="T104" s="210" t="s">
        <v>5274</v>
      </c>
      <c r="U104" s="210">
        <v>7001.1</v>
      </c>
      <c r="V104" s="97">
        <f t="shared" si="43"/>
        <v>8498.5297939726042</v>
      </c>
      <c r="W104" s="32">
        <f t="shared" ref="W104:W111" si="46">V104*(1+$W$19/100)</f>
        <v>8668.5003898520572</v>
      </c>
      <c r="X104" s="32">
        <f t="shared" ref="X104:X111" si="47">V104*(1+$X$19/100)</f>
        <v>8838.4709857315083</v>
      </c>
      <c r="Z104">
        <v>1</v>
      </c>
      <c r="AH104" s="97">
        <v>84</v>
      </c>
      <c r="AI104" s="111" t="s">
        <v>4513</v>
      </c>
      <c r="AJ104" s="111">
        <v>3900000</v>
      </c>
      <c r="AK104" s="97">
        <v>3</v>
      </c>
      <c r="AL104" s="97">
        <f t="shared" si="40"/>
        <v>636</v>
      </c>
      <c r="AM104" s="115">
        <f t="shared" si="10"/>
        <v>2480400000</v>
      </c>
      <c r="AN104" s="97"/>
    </row>
    <row r="105" spans="4:47">
      <c r="F105" s="189"/>
      <c r="G105" s="189"/>
      <c r="H105" s="189"/>
      <c r="I105" s="189"/>
      <c r="J105" s="249" t="s">
        <v>5464</v>
      </c>
      <c r="K105" s="189">
        <v>436</v>
      </c>
      <c r="L105" s="250">
        <f t="shared" si="41"/>
        <v>5973200000</v>
      </c>
      <c r="M105" s="250">
        <v>0</v>
      </c>
      <c r="N105" s="84">
        <f t="shared" si="42"/>
        <v>5973200000</v>
      </c>
      <c r="P105" t="s">
        <v>25</v>
      </c>
      <c r="Q105" s="167">
        <v>4038752</v>
      </c>
      <c r="R105" s="210" t="s">
        <v>5279</v>
      </c>
      <c r="S105" s="210">
        <f>S104-6</f>
        <v>253</v>
      </c>
      <c r="T105" s="210" t="s">
        <v>5280</v>
      </c>
      <c r="U105" s="210">
        <v>7310</v>
      </c>
      <c r="V105" s="97">
        <f t="shared" si="43"/>
        <v>8839.8528219178097</v>
      </c>
      <c r="W105" s="32">
        <f t="shared" si="46"/>
        <v>9016.6498783561656</v>
      </c>
      <c r="X105" s="32">
        <f t="shared" si="47"/>
        <v>9193.4469347945233</v>
      </c>
      <c r="Z105">
        <v>550</v>
      </c>
      <c r="AH105" s="97">
        <v>85</v>
      </c>
      <c r="AI105" s="111" t="s">
        <v>4514</v>
      </c>
      <c r="AJ105" s="111">
        <v>-3969754</v>
      </c>
      <c r="AK105" s="97">
        <v>1</v>
      </c>
      <c r="AL105" s="97">
        <f t="shared" si="40"/>
        <v>633</v>
      </c>
      <c r="AM105" s="115">
        <f t="shared" si="10"/>
        <v>-2512854282</v>
      </c>
      <c r="AN105" s="97"/>
    </row>
    <row r="106" spans="4:47">
      <c r="F106" s="210"/>
      <c r="G106" s="210"/>
      <c r="H106" s="210"/>
      <c r="I106" s="210"/>
      <c r="J106" s="32" t="s">
        <v>4692</v>
      </c>
      <c r="K106" s="210"/>
      <c r="L106" s="1"/>
      <c r="M106" s="1"/>
      <c r="N106" s="111">
        <f>20000000-L40</f>
        <v>100100000</v>
      </c>
      <c r="O106" t="s">
        <v>25</v>
      </c>
      <c r="P106" t="s">
        <v>25</v>
      </c>
      <c r="Q106" s="167">
        <v>632415</v>
      </c>
      <c r="R106" s="210" t="s">
        <v>5287</v>
      </c>
      <c r="S106" s="210">
        <f>S105-5</f>
        <v>248</v>
      </c>
      <c r="T106" s="210" t="s">
        <v>5289</v>
      </c>
      <c r="U106" s="210">
        <v>7236.3</v>
      </c>
      <c r="V106" s="97">
        <f t="shared" si="43"/>
        <v>8722.9730531506866</v>
      </c>
      <c r="W106" s="32">
        <f t="shared" si="46"/>
        <v>8897.4325142137004</v>
      </c>
      <c r="X106" s="32">
        <f t="shared" si="47"/>
        <v>9071.8919752767142</v>
      </c>
      <c r="Z106">
        <v>87</v>
      </c>
      <c r="AH106" s="97">
        <v>86</v>
      </c>
      <c r="AI106" s="111" t="s">
        <v>4524</v>
      </c>
      <c r="AJ106" s="111">
        <v>-25574455</v>
      </c>
      <c r="AK106" s="97">
        <v>0</v>
      </c>
      <c r="AL106" s="97">
        <f t="shared" si="40"/>
        <v>632</v>
      </c>
      <c r="AM106" s="115">
        <f t="shared" si="10"/>
        <v>-16163055560</v>
      </c>
      <c r="AN106" s="97"/>
      <c r="AP106" t="s">
        <v>25</v>
      </c>
    </row>
    <row r="107" spans="4:47">
      <c r="F107" s="197"/>
      <c r="G107" s="197"/>
      <c r="H107" s="197"/>
      <c r="I107" s="197"/>
      <c r="J107" s="211" t="s">
        <v>5016</v>
      </c>
      <c r="K107" s="197">
        <f>SUM(K100:K105)</f>
        <v>680</v>
      </c>
      <c r="L107" s="212"/>
      <c r="M107" s="212"/>
      <c r="N107" s="181"/>
      <c r="Q107" s="167">
        <v>6417109</v>
      </c>
      <c r="R107" s="210" t="s">
        <v>5290</v>
      </c>
      <c r="S107" s="210">
        <f>S106-1</f>
        <v>247</v>
      </c>
      <c r="T107" s="210" t="s">
        <v>5291</v>
      </c>
      <c r="U107" s="210">
        <v>7097.9</v>
      </c>
      <c r="V107" s="97">
        <f t="shared" si="43"/>
        <v>8550.6942827397252</v>
      </c>
      <c r="W107" s="32">
        <f t="shared" si="46"/>
        <v>8721.7081683945198</v>
      </c>
      <c r="X107" s="32">
        <f t="shared" si="47"/>
        <v>8892.7220540493145</v>
      </c>
      <c r="Z107">
        <v>900</v>
      </c>
      <c r="AH107" s="97">
        <v>87</v>
      </c>
      <c r="AI107" s="111" t="s">
        <v>4524</v>
      </c>
      <c r="AJ107" s="111">
        <v>4000000</v>
      </c>
      <c r="AK107" s="97">
        <v>1</v>
      </c>
      <c r="AL107" s="97">
        <f t="shared" si="40"/>
        <v>632</v>
      </c>
      <c r="AM107" s="115">
        <f t="shared" si="10"/>
        <v>2528000000</v>
      </c>
      <c r="AN107" s="97"/>
    </row>
    <row r="108" spans="4:47">
      <c r="F108" s="210"/>
      <c r="G108" s="210"/>
      <c r="H108" s="210" t="s">
        <v>25</v>
      </c>
      <c r="I108" s="210"/>
      <c r="J108" s="32"/>
      <c r="K108" s="210">
        <v>0</v>
      </c>
      <c r="L108" s="39">
        <f>10*P47</f>
        <v>13700000</v>
      </c>
      <c r="M108" s="1">
        <f>K108*L108</f>
        <v>0</v>
      </c>
      <c r="N108" s="111">
        <f>SUM(N100:N106)-M108</f>
        <v>928215035</v>
      </c>
      <c r="P108" s="112"/>
      <c r="Q108" s="167">
        <v>7802773</v>
      </c>
      <c r="R108" s="210" t="s">
        <v>5294</v>
      </c>
      <c r="S108" s="210">
        <f>S107-1</f>
        <v>246</v>
      </c>
      <c r="T108" s="210" t="s">
        <v>5296</v>
      </c>
      <c r="U108" s="210">
        <v>7100.1</v>
      </c>
      <c r="V108" s="97">
        <f t="shared" si="43"/>
        <v>8547.897925479454</v>
      </c>
      <c r="W108" s="32">
        <f t="shared" si="46"/>
        <v>8718.8558839890429</v>
      </c>
      <c r="X108" s="32">
        <f t="shared" si="47"/>
        <v>8889.8138424986319</v>
      </c>
      <c r="Z108">
        <v>1094</v>
      </c>
      <c r="AH108" s="97">
        <v>88</v>
      </c>
      <c r="AI108" s="111" t="s">
        <v>979</v>
      </c>
      <c r="AJ108" s="111">
        <v>-5000000</v>
      </c>
      <c r="AK108" s="97">
        <v>2</v>
      </c>
      <c r="AL108" s="97">
        <f t="shared" si="40"/>
        <v>631</v>
      </c>
      <c r="AM108" s="115">
        <f t="shared" si="10"/>
        <v>-3155000000</v>
      </c>
      <c r="AN108" s="97"/>
    </row>
    <row r="109" spans="4:47">
      <c r="F109" s="197"/>
      <c r="G109" s="197"/>
      <c r="H109" s="197"/>
      <c r="I109" s="197"/>
      <c r="J109" s="211"/>
      <c r="K109" s="237"/>
      <c r="L109" s="212" t="s">
        <v>4231</v>
      </c>
      <c r="M109" s="212" t="s">
        <v>4604</v>
      </c>
      <c r="N109" s="181" t="s">
        <v>4605</v>
      </c>
      <c r="P109" t="s">
        <v>25</v>
      </c>
      <c r="Q109" s="167">
        <v>497886</v>
      </c>
      <c r="R109" s="210" t="s">
        <v>5297</v>
      </c>
      <c r="S109" s="210">
        <f>S108-4</f>
        <v>242</v>
      </c>
      <c r="T109" s="210" t="s">
        <v>5298</v>
      </c>
      <c r="U109" s="210">
        <v>6980.8</v>
      </c>
      <c r="V109" s="97">
        <f t="shared" si="43"/>
        <v>8382.8506476712337</v>
      </c>
      <c r="W109" s="32">
        <f t="shared" si="46"/>
        <v>8550.5076606246585</v>
      </c>
      <c r="X109" s="32">
        <f t="shared" si="47"/>
        <v>8718.1646735780832</v>
      </c>
      <c r="Z109">
        <v>71</v>
      </c>
      <c r="AD109" s="94"/>
      <c r="AE109"/>
      <c r="AF109"/>
      <c r="AH109" s="97">
        <v>89</v>
      </c>
      <c r="AI109" s="111" t="s">
        <v>4528</v>
      </c>
      <c r="AJ109" s="111">
        <v>10000000</v>
      </c>
      <c r="AK109" s="97">
        <v>4</v>
      </c>
      <c r="AL109" s="97">
        <f t="shared" si="40"/>
        <v>629</v>
      </c>
      <c r="AM109" s="115">
        <f t="shared" si="10"/>
        <v>6290000000</v>
      </c>
      <c r="AN109" s="97"/>
    </row>
    <row r="110" spans="4:47">
      <c r="F110" s="210"/>
      <c r="G110" s="210"/>
      <c r="H110" s="210"/>
      <c r="I110" s="210"/>
      <c r="J110" s="32" t="s">
        <v>4611</v>
      </c>
      <c r="K110" s="210"/>
      <c r="L110" s="1"/>
      <c r="M110" s="1"/>
      <c r="N110" s="111"/>
      <c r="Q110" s="167">
        <v>4160802</v>
      </c>
      <c r="R110" s="210" t="s">
        <v>983</v>
      </c>
      <c r="S110" s="210">
        <f>S109-2</f>
        <v>240</v>
      </c>
      <c r="T110" s="210" t="s">
        <v>5306</v>
      </c>
      <c r="U110" s="210">
        <v>7092.5</v>
      </c>
      <c r="V110" s="97">
        <f t="shared" si="43"/>
        <v>8506.1032602739742</v>
      </c>
      <c r="W110" s="32">
        <f t="shared" si="46"/>
        <v>8676.2253254794541</v>
      </c>
      <c r="X110" s="32">
        <f t="shared" si="47"/>
        <v>8846.347390684934</v>
      </c>
      <c r="Z110">
        <v>584</v>
      </c>
      <c r="AC110" t="s">
        <v>25</v>
      </c>
      <c r="AH110" s="97">
        <v>90</v>
      </c>
      <c r="AI110" s="111" t="s">
        <v>4530</v>
      </c>
      <c r="AJ110" s="111">
        <v>-5241937</v>
      </c>
      <c r="AK110" s="97">
        <v>0</v>
      </c>
      <c r="AL110" s="97">
        <f t="shared" si="40"/>
        <v>625</v>
      </c>
      <c r="AM110" s="115">
        <f t="shared" si="10"/>
        <v>-3276210625</v>
      </c>
      <c r="AN110" s="97"/>
    </row>
    <row r="111" spans="4:47">
      <c r="M111" t="s">
        <v>25</v>
      </c>
      <c r="Q111" s="167">
        <v>5397012</v>
      </c>
      <c r="R111" s="210" t="s">
        <v>5307</v>
      </c>
      <c r="S111" s="210">
        <f>S110-1</f>
        <v>239</v>
      </c>
      <c r="T111" s="210" t="s">
        <v>5322</v>
      </c>
      <c r="U111" s="210">
        <v>6923.5</v>
      </c>
      <c r="V111" s="97">
        <f t="shared" si="43"/>
        <v>8298.1087616438363</v>
      </c>
      <c r="W111" s="32">
        <f t="shared" si="46"/>
        <v>8464.0709368767129</v>
      </c>
      <c r="X111" s="32">
        <f t="shared" si="47"/>
        <v>8630.0331121095896</v>
      </c>
      <c r="Z111">
        <v>776</v>
      </c>
      <c r="AH111" s="97">
        <v>91</v>
      </c>
      <c r="AI111" s="111" t="s">
        <v>4530</v>
      </c>
      <c r="AJ111" s="111">
        <v>21900000</v>
      </c>
      <c r="AK111" s="97">
        <v>2</v>
      </c>
      <c r="AL111" s="97">
        <f t="shared" si="40"/>
        <v>625</v>
      </c>
      <c r="AM111" s="115">
        <f t="shared" si="10"/>
        <v>13687500000</v>
      </c>
      <c r="AN111" s="97"/>
      <c r="AP111" t="s">
        <v>25</v>
      </c>
      <c r="AU111"/>
    </row>
    <row r="112" spans="4:47">
      <c r="I112" t="s">
        <v>25</v>
      </c>
      <c r="P112" s="112"/>
      <c r="Q112" s="167">
        <v>6908862</v>
      </c>
      <c r="R112" s="210" t="s">
        <v>5320</v>
      </c>
      <c r="S112" s="210">
        <f>S111-11</f>
        <v>228</v>
      </c>
      <c r="T112" s="210" t="s">
        <v>5329</v>
      </c>
      <c r="U112" s="210">
        <v>7301.1</v>
      </c>
      <c r="V112" s="97">
        <f t="shared" si="43"/>
        <v>8689.0691145205492</v>
      </c>
      <c r="W112" s="32">
        <f t="shared" ref="W112:W115" si="48">V112*(1+$W$19/100)</f>
        <v>8862.850496810961</v>
      </c>
      <c r="X112" s="32">
        <f t="shared" ref="X112:X115" si="49">V112*(1+$X$19/100)</f>
        <v>9036.6318791013709</v>
      </c>
      <c r="Z112">
        <v>942</v>
      </c>
      <c r="AH112" s="97">
        <v>92</v>
      </c>
      <c r="AI112" s="111" t="s">
        <v>4537</v>
      </c>
      <c r="AJ112" s="111">
        <v>-15000000</v>
      </c>
      <c r="AK112" s="97">
        <v>0</v>
      </c>
      <c r="AL112" s="97">
        <f t="shared" si="40"/>
        <v>623</v>
      </c>
      <c r="AM112" s="115">
        <f t="shared" si="10"/>
        <v>-9345000000</v>
      </c>
      <c r="AN112" s="97"/>
      <c r="AO112" t="s">
        <v>25</v>
      </c>
    </row>
    <row r="113" spans="6:46">
      <c r="J113" s="112"/>
      <c r="K113" s="166" t="s">
        <v>4492</v>
      </c>
      <c r="L113" s="166" t="s">
        <v>4493</v>
      </c>
      <c r="M113" s="166" t="s">
        <v>4397</v>
      </c>
      <c r="N113" s="54" t="s">
        <v>190</v>
      </c>
      <c r="Q113" s="167">
        <v>36895962</v>
      </c>
      <c r="R113" s="210" t="s">
        <v>5330</v>
      </c>
      <c r="S113" s="210">
        <f>S112-1</f>
        <v>227</v>
      </c>
      <c r="T113" s="210" t="s">
        <v>5335</v>
      </c>
      <c r="U113" s="210">
        <v>7372.4</v>
      </c>
      <c r="V113" s="97">
        <f t="shared" si="43"/>
        <v>8768.2679978082178</v>
      </c>
      <c r="W113" s="32">
        <f t="shared" si="48"/>
        <v>8943.6333577643818</v>
      </c>
      <c r="X113" s="32">
        <f t="shared" si="49"/>
        <v>9118.9987177205476</v>
      </c>
      <c r="Z113">
        <v>4982</v>
      </c>
      <c r="AH113" s="97">
        <v>93</v>
      </c>
      <c r="AI113" s="111" t="s">
        <v>4537</v>
      </c>
      <c r="AJ113" s="111">
        <v>3000000</v>
      </c>
      <c r="AK113" s="97">
        <v>1</v>
      </c>
      <c r="AL113" s="97">
        <f t="shared" si="40"/>
        <v>623</v>
      </c>
      <c r="AM113" s="115">
        <f t="shared" si="10"/>
        <v>1869000000</v>
      </c>
      <c r="AN113" s="97"/>
    </row>
    <row r="114" spans="6:46">
      <c r="H114" s="112"/>
      <c r="K114" s="166" t="s">
        <v>4221</v>
      </c>
      <c r="L114" s="167">
        <v>1100000</v>
      </c>
      <c r="M114" s="167">
        <v>1637000</v>
      </c>
      <c r="N114" s="166">
        <f t="shared" ref="N114:N122" si="50">(M114-L114)*100/L114</f>
        <v>48.81818181818182</v>
      </c>
      <c r="Q114" s="167">
        <v>25972060</v>
      </c>
      <c r="R114" s="210" t="s">
        <v>5344</v>
      </c>
      <c r="S114" s="210">
        <f>S113-3</f>
        <v>224</v>
      </c>
      <c r="T114" s="210" t="s">
        <v>5439</v>
      </c>
      <c r="U114" s="210">
        <v>7557.6</v>
      </c>
      <c r="V114" s="97">
        <f t="shared" si="43"/>
        <v>8971.1403747945205</v>
      </c>
      <c r="W114" s="32">
        <f t="shared" si="48"/>
        <v>9150.5631822904106</v>
      </c>
      <c r="X114" s="32">
        <f t="shared" si="49"/>
        <v>9329.9859897863025</v>
      </c>
      <c r="Z114">
        <v>3421</v>
      </c>
      <c r="AH114" s="97">
        <v>94</v>
      </c>
      <c r="AI114" s="111" t="s">
        <v>4540</v>
      </c>
      <c r="AJ114" s="111">
        <v>-2103736</v>
      </c>
      <c r="AK114" s="97">
        <v>0</v>
      </c>
      <c r="AL114" s="97">
        <f t="shared" si="40"/>
        <v>622</v>
      </c>
      <c r="AM114" s="115">
        <f t="shared" si="10"/>
        <v>-1308523792</v>
      </c>
      <c r="AN114" s="97"/>
    </row>
    <row r="115" spans="6:46">
      <c r="F115" s="94"/>
      <c r="G115" s="210"/>
      <c r="H115" s="210" t="s">
        <v>5640</v>
      </c>
      <c r="I115" s="213" t="s">
        <v>5436</v>
      </c>
      <c r="J115" s="1">
        <v>79922415</v>
      </c>
      <c r="K115" s="5" t="s">
        <v>4487</v>
      </c>
      <c r="L115" s="167">
        <v>1100000</v>
      </c>
      <c r="M115" s="167">
        <v>4748000</v>
      </c>
      <c r="N115" s="166">
        <f t="shared" si="50"/>
        <v>331.63636363636363</v>
      </c>
      <c r="Q115" s="167">
        <v>3833391.0801064861</v>
      </c>
      <c r="R115" s="210" t="s">
        <v>5440</v>
      </c>
      <c r="S115" s="210">
        <f>S114-40</f>
        <v>184</v>
      </c>
      <c r="T115" s="210" t="s">
        <v>5758</v>
      </c>
      <c r="U115" s="210">
        <v>7159.6</v>
      </c>
      <c r="V115" s="97">
        <f t="shared" si="43"/>
        <v>8279.0083638356173</v>
      </c>
      <c r="W115" s="32">
        <f t="shared" si="48"/>
        <v>8444.5885311123293</v>
      </c>
      <c r="X115" s="32">
        <f t="shared" si="49"/>
        <v>8610.1686983890431</v>
      </c>
      <c r="Z115">
        <v>533</v>
      </c>
      <c r="AH115" s="97">
        <v>95</v>
      </c>
      <c r="AI115" s="111" t="s">
        <v>4540</v>
      </c>
      <c r="AJ115" s="111">
        <v>220000</v>
      </c>
      <c r="AK115" s="97">
        <v>3</v>
      </c>
      <c r="AL115" s="97">
        <f t="shared" si="40"/>
        <v>622</v>
      </c>
      <c r="AM115" s="115">
        <f t="shared" si="10"/>
        <v>136840000</v>
      </c>
      <c r="AN115" s="97"/>
      <c r="AR115" s="94"/>
      <c r="AS115" s="94"/>
      <c r="AT115"/>
    </row>
    <row r="116" spans="6:46">
      <c r="F116" s="94"/>
      <c r="G116" s="210" t="s">
        <v>926</v>
      </c>
      <c r="H116" s="210" t="s">
        <v>4492</v>
      </c>
      <c r="I116" s="210" t="s">
        <v>922</v>
      </c>
      <c r="J116" s="210" t="s">
        <v>4690</v>
      </c>
      <c r="K116" s="5" t="s">
        <v>4488</v>
      </c>
      <c r="L116" s="167">
        <v>1100000</v>
      </c>
      <c r="M116" s="167">
        <v>5137000</v>
      </c>
      <c r="N116" s="166">
        <f t="shared" si="50"/>
        <v>367</v>
      </c>
      <c r="Q116" s="167">
        <v>1131325.9005020538</v>
      </c>
      <c r="R116" s="210" t="s">
        <v>5462</v>
      </c>
      <c r="S116" s="210">
        <f>S115-19</f>
        <v>165</v>
      </c>
      <c r="T116" s="210" t="s">
        <v>5588</v>
      </c>
      <c r="U116" s="210">
        <v>8280.2000000000007</v>
      </c>
      <c r="V116" s="97">
        <f t="shared" si="43"/>
        <v>9454.1281906849326</v>
      </c>
      <c r="W116" s="32">
        <f t="shared" ref="W116" si="51">V116*(1+$W$19/100)</f>
        <v>9643.210754498632</v>
      </c>
      <c r="X116" s="32">
        <f t="shared" ref="X116" si="52">V116*(1+$X$19/100)</f>
        <v>9832.2933183123296</v>
      </c>
      <c r="AH116" s="97">
        <v>96</v>
      </c>
      <c r="AI116" s="111" t="s">
        <v>4549</v>
      </c>
      <c r="AJ116" s="111">
        <v>4000000</v>
      </c>
      <c r="AK116" s="97">
        <v>1</v>
      </c>
      <c r="AL116" s="97">
        <f t="shared" si="40"/>
        <v>619</v>
      </c>
      <c r="AM116" s="115">
        <f t="shared" si="10"/>
        <v>2476000000</v>
      </c>
      <c r="AN116" s="97"/>
    </row>
    <row r="117" spans="6:46">
      <c r="F117" s="94"/>
      <c r="G117" s="1">
        <f>P45</f>
        <v>1287</v>
      </c>
      <c r="H117" s="210" t="s">
        <v>4221</v>
      </c>
      <c r="I117" s="210">
        <v>241029</v>
      </c>
      <c r="J117" s="1">
        <f>I117*G117</f>
        <v>310204323</v>
      </c>
      <c r="K117" s="19" t="s">
        <v>4359</v>
      </c>
      <c r="L117" s="167">
        <v>1100000</v>
      </c>
      <c r="M117" s="167">
        <v>4300000</v>
      </c>
      <c r="N117" s="166">
        <f t="shared" si="50"/>
        <v>290.90909090909093</v>
      </c>
      <c r="Q117" s="167">
        <v>54867379.498837568</v>
      </c>
      <c r="R117" s="210" t="s">
        <v>5596</v>
      </c>
      <c r="S117" s="210">
        <f>S116-77</f>
        <v>88</v>
      </c>
      <c r="T117" s="210" t="s">
        <v>5766</v>
      </c>
      <c r="U117" s="210">
        <v>17019</v>
      </c>
      <c r="V117" s="97">
        <f t="shared" si="43"/>
        <v>18426.587868493152</v>
      </c>
      <c r="W117" s="32">
        <f t="shared" ref="W117" si="53">V117*(1+$W$19/100)</f>
        <v>18795.119625863015</v>
      </c>
      <c r="X117" s="32">
        <f t="shared" ref="X117" si="54">V117*(1+$X$19/100)</f>
        <v>19163.651383232878</v>
      </c>
      <c r="Y117" t="s">
        <v>25</v>
      </c>
      <c r="AH117" s="97">
        <v>97</v>
      </c>
      <c r="AI117" s="111" t="s">
        <v>4553</v>
      </c>
      <c r="AJ117" s="111">
        <v>-9000000</v>
      </c>
      <c r="AK117" s="97">
        <v>0</v>
      </c>
      <c r="AL117" s="97">
        <f t="shared" si="40"/>
        <v>618</v>
      </c>
      <c r="AM117" s="115">
        <f t="shared" si="10"/>
        <v>-5562000000</v>
      </c>
      <c r="AN117" s="97"/>
      <c r="AP117" t="s">
        <v>25</v>
      </c>
    </row>
    <row r="118" spans="6:46">
      <c r="F118" s="94"/>
      <c r="G118" s="1">
        <f>P44</f>
        <v>15700</v>
      </c>
      <c r="H118" s="210" t="s">
        <v>4363</v>
      </c>
      <c r="I118" s="210">
        <v>2535</v>
      </c>
      <c r="J118" s="1">
        <f>I118*G118</f>
        <v>39799500</v>
      </c>
      <c r="K118" s="5" t="s">
        <v>4376</v>
      </c>
      <c r="L118" s="167">
        <v>1100000</v>
      </c>
      <c r="M118" s="167">
        <v>3191000</v>
      </c>
      <c r="N118" s="166">
        <f t="shared" si="50"/>
        <v>190.09090909090909</v>
      </c>
      <c r="Q118" s="167">
        <v>433201621</v>
      </c>
      <c r="R118" s="210" t="s">
        <v>5677</v>
      </c>
      <c r="S118" s="210">
        <f>S117-44</f>
        <v>44</v>
      </c>
      <c r="T118" s="210" t="s">
        <v>5684</v>
      </c>
      <c r="U118" s="210">
        <v>1995.5</v>
      </c>
      <c r="V118" s="97">
        <f t="shared" si="43"/>
        <v>2093.1865589041095</v>
      </c>
      <c r="W118" s="32">
        <f t="shared" ref="W118:W119" si="55">V118*(1+$W$19/100)</f>
        <v>2135.0502900821916</v>
      </c>
      <c r="X118" s="32">
        <f t="shared" ref="X118:X119" si="56">V118*(1+$X$19/100)</f>
        <v>2176.9140212602738</v>
      </c>
      <c r="Y118">
        <v>216287</v>
      </c>
      <c r="Z118" t="s">
        <v>25</v>
      </c>
      <c r="AA118">
        <v>136</v>
      </c>
      <c r="AH118" s="97">
        <v>98</v>
      </c>
      <c r="AI118" s="111" t="s">
        <v>4553</v>
      </c>
      <c r="AJ118" s="111">
        <v>13900000</v>
      </c>
      <c r="AK118" s="97">
        <v>2</v>
      </c>
      <c r="AL118" s="97">
        <f t="shared" si="40"/>
        <v>618</v>
      </c>
      <c r="AM118" s="115">
        <f t="shared" si="10"/>
        <v>8590200000</v>
      </c>
      <c r="AN118" s="97"/>
    </row>
    <row r="119" spans="6:46">
      <c r="F119" s="94"/>
      <c r="G119" s="1"/>
      <c r="H119" s="210" t="s">
        <v>25</v>
      </c>
      <c r="I119" s="210"/>
      <c r="J119" s="1"/>
      <c r="K119" s="5" t="s">
        <v>4489</v>
      </c>
      <c r="L119" s="167">
        <v>1100000</v>
      </c>
      <c r="M119" s="167">
        <v>5623000</v>
      </c>
      <c r="N119" s="166">
        <f t="shared" si="50"/>
        <v>411.18181818181819</v>
      </c>
      <c r="Q119" s="167">
        <v>8201348.2384272004</v>
      </c>
      <c r="R119" s="210" t="s">
        <v>5680</v>
      </c>
      <c r="S119" s="210">
        <f>S118-5</f>
        <v>39</v>
      </c>
      <c r="T119" s="210" t="s">
        <v>5742</v>
      </c>
      <c r="U119" s="210">
        <v>1751</v>
      </c>
      <c r="V119" s="97">
        <f t="shared" si="43"/>
        <v>1830.0012821917808</v>
      </c>
      <c r="W119" s="32">
        <f t="shared" si="55"/>
        <v>1866.6013078356164</v>
      </c>
      <c r="X119" s="32">
        <f t="shared" si="56"/>
        <v>1903.2013334794522</v>
      </c>
      <c r="Y119">
        <v>4667</v>
      </c>
      <c r="AA119">
        <v>3209</v>
      </c>
      <c r="AH119" s="97">
        <v>99</v>
      </c>
      <c r="AI119" s="111" t="s">
        <v>4558</v>
      </c>
      <c r="AJ119" s="111">
        <v>-8127577</v>
      </c>
      <c r="AK119" s="97">
        <v>1</v>
      </c>
      <c r="AL119" s="97">
        <f t="shared" si="40"/>
        <v>616</v>
      </c>
      <c r="AM119" s="115">
        <f t="shared" si="10"/>
        <v>-5006587432</v>
      </c>
      <c r="AN119" s="97"/>
      <c r="AO119" t="s">
        <v>25</v>
      </c>
      <c r="AQ119" t="s">
        <v>25</v>
      </c>
    </row>
    <row r="120" spans="6:46">
      <c r="F120" s="94"/>
      <c r="G120" s="210"/>
      <c r="H120" s="210"/>
      <c r="I120" s="186">
        <f>J120-J115</f>
        <v>270081408</v>
      </c>
      <c r="J120" s="1">
        <f>SUM(J117:J119)</f>
        <v>350003823</v>
      </c>
      <c r="K120" s="19" t="s">
        <v>4363</v>
      </c>
      <c r="L120" s="167">
        <v>1100000</v>
      </c>
      <c r="M120" s="167">
        <v>7728000</v>
      </c>
      <c r="N120" s="166">
        <f t="shared" si="50"/>
        <v>602.5454545454545</v>
      </c>
      <c r="Q120" s="167">
        <v>106896832</v>
      </c>
      <c r="R120" s="210" t="s">
        <v>5744</v>
      </c>
      <c r="S120" s="210">
        <f>S119-36</f>
        <v>3</v>
      </c>
      <c r="T120" s="210" t="s">
        <v>5745</v>
      </c>
      <c r="U120" s="210">
        <v>1715</v>
      </c>
      <c r="V120" s="97">
        <f t="shared" si="43"/>
        <v>1745.0148493150687</v>
      </c>
      <c r="W120" s="32">
        <f t="shared" ref="W120" si="57">V120*(1+$W$19/100)</f>
        <v>1779.91514630137</v>
      </c>
      <c r="X120" s="32">
        <f t="shared" ref="X120" si="58">V120*(1+$X$19/100)</f>
        <v>1814.8154432876715</v>
      </c>
      <c r="Y120" s="94">
        <v>62100</v>
      </c>
      <c r="Z120" t="s">
        <v>25</v>
      </c>
      <c r="AH120" s="97">
        <v>100</v>
      </c>
      <c r="AI120" s="111" t="s">
        <v>3675</v>
      </c>
      <c r="AJ120" s="111">
        <v>15792549</v>
      </c>
      <c r="AK120" s="97">
        <v>3</v>
      </c>
      <c r="AL120" s="97">
        <f t="shared" si="40"/>
        <v>615</v>
      </c>
      <c r="AM120" s="115">
        <f t="shared" si="10"/>
        <v>9712417635</v>
      </c>
      <c r="AN120" s="97"/>
      <c r="AO120" t="s">
        <v>25</v>
      </c>
      <c r="AP120" t="s">
        <v>25</v>
      </c>
    </row>
    <row r="121" spans="6:46">
      <c r="F121" s="94"/>
      <c r="G121" s="210"/>
      <c r="H121" s="210"/>
      <c r="I121" s="210" t="s">
        <v>902</v>
      </c>
      <c r="J121" s="210" t="s">
        <v>6</v>
      </c>
      <c r="K121" s="5" t="s">
        <v>4491</v>
      </c>
      <c r="L121" s="167">
        <v>1100000</v>
      </c>
      <c r="M121" s="167">
        <v>2904000</v>
      </c>
      <c r="N121" s="166">
        <f t="shared" si="50"/>
        <v>164</v>
      </c>
      <c r="Q121" s="167">
        <v>455942528</v>
      </c>
      <c r="R121" s="210" t="s">
        <v>5746</v>
      </c>
      <c r="S121" s="210">
        <f>S120-1</f>
        <v>2</v>
      </c>
      <c r="T121" s="210" t="s">
        <v>5748</v>
      </c>
      <c r="U121" s="210">
        <v>1631</v>
      </c>
      <c r="V121" s="97">
        <f t="shared" si="43"/>
        <v>1658.2935561643837</v>
      </c>
      <c r="W121" s="32">
        <f t="shared" ref="W121:W122" si="59">V121*(1+$W$19/100)</f>
        <v>1691.4594272876714</v>
      </c>
      <c r="X121" s="32">
        <f t="shared" ref="X121:X122" si="60">V121*(1+$X$19/100)</f>
        <v>1724.6252984109592</v>
      </c>
      <c r="Y121">
        <v>278514</v>
      </c>
      <c r="AA121" t="s">
        <v>25</v>
      </c>
      <c r="AH121" s="97">
        <v>101</v>
      </c>
      <c r="AI121" s="111" t="s">
        <v>4562</v>
      </c>
      <c r="AJ121" s="111">
        <v>8800000</v>
      </c>
      <c r="AK121" s="97">
        <v>0</v>
      </c>
      <c r="AL121" s="97">
        <f t="shared" ref="AL121:AL126" si="61">AL122+AK121</f>
        <v>612</v>
      </c>
      <c r="AM121" s="115">
        <f t="shared" ref="AM121:AM144" si="62">AJ121*AL121</f>
        <v>5385600000</v>
      </c>
      <c r="AN121" s="97"/>
      <c r="AP121" t="s">
        <v>25</v>
      </c>
    </row>
    <row r="122" spans="6:46" ht="17.25" customHeight="1">
      <c r="G122" s="41"/>
      <c r="H122" s="41"/>
      <c r="I122" s="41"/>
      <c r="J122" s="41"/>
      <c r="K122" s="255" t="s">
        <v>1070</v>
      </c>
      <c r="L122" s="167">
        <v>1100000</v>
      </c>
      <c r="M122" s="167">
        <v>3400000</v>
      </c>
      <c r="N122" s="166">
        <f t="shared" si="50"/>
        <v>209.09090909090909</v>
      </c>
      <c r="Q122" s="167">
        <v>834999909.33089697</v>
      </c>
      <c r="R122" s="210" t="s">
        <v>5751</v>
      </c>
      <c r="S122" s="210">
        <f>S121-1</f>
        <v>1</v>
      </c>
      <c r="T122" s="210" t="s">
        <v>5779</v>
      </c>
      <c r="U122" s="210">
        <v>1567.4</v>
      </c>
      <c r="V122" s="97">
        <f t="shared" si="43"/>
        <v>1592.4268690410961</v>
      </c>
      <c r="W122" s="32">
        <f t="shared" si="59"/>
        <v>1624.275406421918</v>
      </c>
      <c r="X122" s="32">
        <f t="shared" si="60"/>
        <v>1656.1239438027401</v>
      </c>
      <c r="Y122">
        <v>530747</v>
      </c>
      <c r="AH122" s="119">
        <v>102</v>
      </c>
      <c r="AI122" s="77" t="s">
        <v>4562</v>
      </c>
      <c r="AJ122" s="77">
        <v>13071612</v>
      </c>
      <c r="AK122" s="119">
        <v>1</v>
      </c>
      <c r="AL122" s="119">
        <f t="shared" si="61"/>
        <v>612</v>
      </c>
      <c r="AM122" s="77">
        <f t="shared" si="62"/>
        <v>7999826544</v>
      </c>
      <c r="AN122" s="202" t="s">
        <v>4563</v>
      </c>
    </row>
    <row r="123" spans="6:46">
      <c r="G123" s="210" t="s">
        <v>25</v>
      </c>
      <c r="H123" s="210" t="s">
        <v>5641</v>
      </c>
      <c r="I123" s="213" t="s">
        <v>5548</v>
      </c>
      <c r="J123" s="1">
        <v>50000000</v>
      </c>
      <c r="K123" s="236" t="s">
        <v>5413</v>
      </c>
      <c r="Q123" s="167">
        <v>154774159</v>
      </c>
      <c r="R123" s="210" t="s">
        <v>5760</v>
      </c>
      <c r="S123" s="210">
        <f>S122-4</f>
        <v>-3</v>
      </c>
      <c r="T123" s="210" t="s">
        <v>5780</v>
      </c>
      <c r="U123" s="210">
        <v>17931.900000000001</v>
      </c>
      <c r="V123" s="97">
        <f t="shared" si="43"/>
        <v>18163.196945753429</v>
      </c>
      <c r="W123" s="32">
        <f t="shared" ref="W123:W136" si="63">V123*(1+$W$19/100)</f>
        <v>18526.460884668497</v>
      </c>
      <c r="X123" s="32">
        <f t="shared" ref="X123:X136" si="64">V123*(1+$X$19/100)</f>
        <v>18889.724823583565</v>
      </c>
      <c r="Y123" s="94"/>
      <c r="Z123" s="94">
        <v>8600</v>
      </c>
      <c r="AH123" s="87">
        <v>103</v>
      </c>
      <c r="AI123" s="88" t="s">
        <v>4566</v>
      </c>
      <c r="AJ123" s="88">
        <v>16727037</v>
      </c>
      <c r="AK123" s="87">
        <v>0</v>
      </c>
      <c r="AL123" s="87">
        <f t="shared" si="61"/>
        <v>611</v>
      </c>
      <c r="AM123" s="88">
        <f t="shared" si="62"/>
        <v>10220219607</v>
      </c>
      <c r="AN123" s="87" t="s">
        <v>4573</v>
      </c>
    </row>
    <row r="124" spans="6:46">
      <c r="G124" s="210">
        <f>P44</f>
        <v>15700</v>
      </c>
      <c r="H124" s="210" t="s">
        <v>4363</v>
      </c>
      <c r="I124" s="210">
        <v>4386</v>
      </c>
      <c r="J124" s="111">
        <f>G124*I124</f>
        <v>68860200</v>
      </c>
      <c r="K124" s="236" t="s">
        <v>4520</v>
      </c>
      <c r="Q124" s="167">
        <v>18022302</v>
      </c>
      <c r="R124" s="210" t="s">
        <v>5767</v>
      </c>
      <c r="S124" s="210">
        <f>S123-2</f>
        <v>-5</v>
      </c>
      <c r="T124" s="210" t="s">
        <v>5781</v>
      </c>
      <c r="U124" s="210">
        <v>15778.3</v>
      </c>
      <c r="V124" s="97">
        <f t="shared" si="43"/>
        <v>15957.610653150685</v>
      </c>
      <c r="W124" s="32">
        <f t="shared" si="63"/>
        <v>16276.762866213699</v>
      </c>
      <c r="X124" s="32">
        <f t="shared" si="64"/>
        <v>16595.915079276714</v>
      </c>
      <c r="Y124" s="94"/>
      <c r="Z124" s="94"/>
      <c r="AA124" s="94">
        <v>1128</v>
      </c>
      <c r="AH124" s="97">
        <v>104</v>
      </c>
      <c r="AI124" s="111" t="s">
        <v>4566</v>
      </c>
      <c r="AJ124" s="111">
        <v>12000000</v>
      </c>
      <c r="AK124" s="97">
        <v>1</v>
      </c>
      <c r="AL124" s="97">
        <f t="shared" si="61"/>
        <v>611</v>
      </c>
      <c r="AM124" s="115">
        <f t="shared" si="62"/>
        <v>7332000000</v>
      </c>
      <c r="AN124" s="97" t="s">
        <v>4574</v>
      </c>
    </row>
    <row r="125" spans="6:46">
      <c r="G125" s="210">
        <v>1</v>
      </c>
      <c r="H125" s="210" t="s">
        <v>5545</v>
      </c>
      <c r="I125" s="210">
        <v>654098</v>
      </c>
      <c r="J125" s="111">
        <f>G125*I125</f>
        <v>654098</v>
      </c>
      <c r="K125" s="236" t="s">
        <v>4521</v>
      </c>
      <c r="P125" t="s">
        <v>25</v>
      </c>
      <c r="Q125" s="167">
        <v>164581364.25470176</v>
      </c>
      <c r="R125" s="210" t="s">
        <v>5770</v>
      </c>
      <c r="S125" s="210">
        <f>S124-1</f>
        <v>-6</v>
      </c>
      <c r="T125" s="210" t="s">
        <v>5803</v>
      </c>
      <c r="U125" s="210">
        <v>15939.8</v>
      </c>
      <c r="V125" s="97">
        <f t="shared" si="43"/>
        <v>16108.718209315071</v>
      </c>
      <c r="W125" s="32">
        <f t="shared" si="63"/>
        <v>16430.892573501373</v>
      </c>
      <c r="X125" s="32">
        <f t="shared" si="64"/>
        <v>16753.066937687676</v>
      </c>
      <c r="Y125" s="94"/>
      <c r="Z125" s="94"/>
      <c r="AA125" s="94">
        <v>9277</v>
      </c>
      <c r="AH125" s="87">
        <v>105</v>
      </c>
      <c r="AI125" s="88" t="s">
        <v>4503</v>
      </c>
      <c r="AJ125" s="88">
        <v>88697667</v>
      </c>
      <c r="AK125" s="87">
        <v>1</v>
      </c>
      <c r="AL125" s="87">
        <f t="shared" si="61"/>
        <v>610</v>
      </c>
      <c r="AM125" s="88">
        <f t="shared" si="62"/>
        <v>54105576870</v>
      </c>
      <c r="AN125" s="87" t="s">
        <v>4575</v>
      </c>
      <c r="AP125" t="s">
        <v>25</v>
      </c>
    </row>
    <row r="126" spans="6:46">
      <c r="G126" s="210"/>
      <c r="H126" s="210"/>
      <c r="I126" s="210"/>
      <c r="J126" s="111"/>
      <c r="Q126" s="167"/>
      <c r="R126" s="210" t="s">
        <v>5777</v>
      </c>
      <c r="S126" s="210">
        <f>S125-5</f>
        <v>-11</v>
      </c>
      <c r="T126" s="210" t="s">
        <v>5778</v>
      </c>
      <c r="U126" s="210"/>
      <c r="V126" s="97"/>
      <c r="W126" s="32"/>
      <c r="X126" s="32"/>
      <c r="Y126" s="94"/>
      <c r="Z126" s="94">
        <v>7535</v>
      </c>
      <c r="AA126" s="94"/>
      <c r="AH126" s="97">
        <v>106</v>
      </c>
      <c r="AI126" s="111" t="s">
        <v>4506</v>
      </c>
      <c r="AJ126" s="111">
        <v>101000</v>
      </c>
      <c r="AK126" s="97">
        <v>0</v>
      </c>
      <c r="AL126" s="97">
        <f t="shared" si="61"/>
        <v>609</v>
      </c>
      <c r="AM126" s="115">
        <f t="shared" si="62"/>
        <v>61509000</v>
      </c>
      <c r="AN126" s="97"/>
      <c r="AQ126" t="s">
        <v>25</v>
      </c>
    </row>
    <row r="127" spans="6:46">
      <c r="G127" s="210"/>
      <c r="H127" s="210" t="s">
        <v>938</v>
      </c>
      <c r="I127" s="186">
        <f>J124+J125-J123</f>
        <v>19514298</v>
      </c>
      <c r="J127" s="210"/>
      <c r="Q127" s="167" t="s">
        <v>25</v>
      </c>
      <c r="R127" s="210" t="s">
        <v>5782</v>
      </c>
      <c r="S127" s="210">
        <f>S126-1</f>
        <v>-12</v>
      </c>
      <c r="T127" s="210" t="s">
        <v>5800</v>
      </c>
      <c r="U127" s="210"/>
      <c r="V127" s="97"/>
      <c r="W127" s="32"/>
      <c r="X127" s="32"/>
      <c r="Y127" s="94"/>
      <c r="Z127" s="94">
        <v>4469</v>
      </c>
      <c r="AA127" s="94"/>
      <c r="AH127" s="147">
        <v>107</v>
      </c>
      <c r="AI127" s="186" t="s">
        <v>4572</v>
      </c>
      <c r="AJ127" s="186">
        <v>-48200</v>
      </c>
      <c r="AK127" s="147">
        <v>0</v>
      </c>
      <c r="AL127" s="147">
        <f t="shared" ref="AL127:AL177" si="65">AL128+AK127</f>
        <v>609</v>
      </c>
      <c r="AM127" s="186">
        <f t="shared" si="62"/>
        <v>-29353800</v>
      </c>
      <c r="AN127" s="147" t="s">
        <v>4580</v>
      </c>
    </row>
    <row r="128" spans="6:46">
      <c r="Q128" s="167"/>
      <c r="R128" s="210" t="s">
        <v>5782</v>
      </c>
      <c r="S128" s="210">
        <f>S127</f>
        <v>-12</v>
      </c>
      <c r="T128" s="210" t="s">
        <v>5783</v>
      </c>
      <c r="U128" s="210"/>
      <c r="V128" s="97"/>
      <c r="W128" s="32"/>
      <c r="X128" s="32"/>
      <c r="Y128" s="94">
        <v>83532</v>
      </c>
      <c r="Z128" s="94"/>
      <c r="AA128" s="94"/>
      <c r="AH128" s="87">
        <v>108</v>
      </c>
      <c r="AI128" s="88" t="s">
        <v>4572</v>
      </c>
      <c r="AJ128" s="88">
        <v>39327293</v>
      </c>
      <c r="AK128" s="87">
        <v>4</v>
      </c>
      <c r="AL128" s="147">
        <f t="shared" si="65"/>
        <v>609</v>
      </c>
      <c r="AM128" s="186">
        <f t="shared" si="62"/>
        <v>23950321437</v>
      </c>
      <c r="AN128" s="87" t="s">
        <v>4581</v>
      </c>
    </row>
    <row r="129" spans="7:43">
      <c r="Q129" s="167" t="s">
        <v>25</v>
      </c>
      <c r="R129" s="210" t="s">
        <v>5784</v>
      </c>
      <c r="S129" s="210">
        <f>S128-1</f>
        <v>-13</v>
      </c>
      <c r="T129" s="210" t="s">
        <v>5785</v>
      </c>
      <c r="U129" s="210"/>
      <c r="V129" s="97"/>
      <c r="W129" s="32"/>
      <c r="X129" s="32"/>
      <c r="Y129" s="94">
        <v>807014</v>
      </c>
      <c r="Z129" s="94"/>
      <c r="AA129" s="94"/>
      <c r="AH129" s="87">
        <v>109</v>
      </c>
      <c r="AI129" s="88" t="s">
        <v>4595</v>
      </c>
      <c r="AJ129" s="88">
        <v>8749050</v>
      </c>
      <c r="AK129" s="87">
        <v>1</v>
      </c>
      <c r="AL129" s="87">
        <f t="shared" si="65"/>
        <v>605</v>
      </c>
      <c r="AM129" s="88">
        <f t="shared" si="62"/>
        <v>5293175250</v>
      </c>
      <c r="AN129" s="87" t="s">
        <v>4596</v>
      </c>
    </row>
    <row r="130" spans="7:43">
      <c r="G130" s="210"/>
      <c r="H130" s="210" t="s">
        <v>5639</v>
      </c>
      <c r="I130" s="213" t="s">
        <v>5552</v>
      </c>
      <c r="J130" s="1">
        <v>36319143</v>
      </c>
      <c r="K130" t="s">
        <v>25</v>
      </c>
      <c r="Q130" s="167"/>
      <c r="R130" s="210" t="s">
        <v>5786</v>
      </c>
      <c r="S130" s="210">
        <f>S129-1</f>
        <v>-14</v>
      </c>
      <c r="T130" s="210" t="s">
        <v>5787</v>
      </c>
      <c r="U130" s="210"/>
      <c r="V130" s="97"/>
      <c r="W130" s="32"/>
      <c r="X130" s="32"/>
      <c r="Y130" s="94">
        <v>460560</v>
      </c>
      <c r="Z130" s="94"/>
      <c r="AA130" s="94"/>
      <c r="AH130" s="97">
        <v>110</v>
      </c>
      <c r="AI130" s="111" t="s">
        <v>4597</v>
      </c>
      <c r="AJ130" s="111">
        <v>60000</v>
      </c>
      <c r="AK130" s="97">
        <v>1</v>
      </c>
      <c r="AL130" s="97">
        <f t="shared" si="65"/>
        <v>604</v>
      </c>
      <c r="AM130" s="115">
        <f t="shared" si="62"/>
        <v>36240000</v>
      </c>
      <c r="AN130" s="97" t="s">
        <v>4598</v>
      </c>
    </row>
    <row r="131" spans="7:43">
      <c r="G131" s="1">
        <f>P45</f>
        <v>1287</v>
      </c>
      <c r="H131" s="210" t="s">
        <v>4221</v>
      </c>
      <c r="I131" s="210">
        <v>68595</v>
      </c>
      <c r="J131" s="1">
        <f>G131*I131</f>
        <v>88281765</v>
      </c>
      <c r="Q131" s="167"/>
      <c r="R131" s="210" t="s">
        <v>5794</v>
      </c>
      <c r="S131" s="210">
        <f>S130-4</f>
        <v>-18</v>
      </c>
      <c r="T131" s="210" t="s">
        <v>5795</v>
      </c>
      <c r="U131" s="210"/>
      <c r="V131" s="97"/>
      <c r="W131" s="32"/>
      <c r="X131" s="32"/>
      <c r="Y131" s="94">
        <v>75644</v>
      </c>
      <c r="Z131" s="94"/>
      <c r="AA131" s="94"/>
      <c r="AH131" s="20">
        <v>111</v>
      </c>
      <c r="AI131" s="115" t="s">
        <v>4606</v>
      </c>
      <c r="AJ131" s="115">
        <v>4750000</v>
      </c>
      <c r="AK131" s="20">
        <v>0</v>
      </c>
      <c r="AL131" s="97">
        <f t="shared" si="65"/>
        <v>603</v>
      </c>
      <c r="AM131" s="115">
        <f t="shared" si="62"/>
        <v>2864250000</v>
      </c>
      <c r="AN131" s="20"/>
      <c r="AQ131" t="s">
        <v>25</v>
      </c>
    </row>
    <row r="132" spans="7:43">
      <c r="G132" s="210">
        <f>P44</f>
        <v>15700</v>
      </c>
      <c r="H132" s="210" t="s">
        <v>4363</v>
      </c>
      <c r="I132" s="210">
        <v>1703</v>
      </c>
      <c r="J132" s="1">
        <f>G132*I132</f>
        <v>26737100</v>
      </c>
      <c r="K132" t="s">
        <v>25</v>
      </c>
      <c r="P132" t="s">
        <v>25</v>
      </c>
      <c r="Q132" s="167"/>
      <c r="R132" s="210" t="s">
        <v>5796</v>
      </c>
      <c r="S132" s="210">
        <f>S131-1</f>
        <v>-19</v>
      </c>
      <c r="T132" s="210" t="s">
        <v>5797</v>
      </c>
      <c r="U132" s="210"/>
      <c r="V132" s="97"/>
      <c r="W132" s="32"/>
      <c r="X132" s="32"/>
      <c r="Y132" s="94">
        <v>189767</v>
      </c>
      <c r="Z132" s="94"/>
      <c r="AA132" s="94"/>
      <c r="AH132" s="87">
        <v>112</v>
      </c>
      <c r="AI132" s="88" t="s">
        <v>4606</v>
      </c>
      <c r="AJ132" s="88">
        <v>13101160</v>
      </c>
      <c r="AK132" s="87">
        <v>1</v>
      </c>
      <c r="AL132" s="87">
        <f t="shared" si="65"/>
        <v>603</v>
      </c>
      <c r="AM132" s="88">
        <f t="shared" si="62"/>
        <v>7899999480</v>
      </c>
      <c r="AN132" s="87" t="s">
        <v>4609</v>
      </c>
    </row>
    <row r="133" spans="7:43">
      <c r="G133" s="210"/>
      <c r="H133" s="210"/>
      <c r="I133" s="186">
        <f>J133-J130</f>
        <v>78699722</v>
      </c>
      <c r="J133" s="1">
        <f>SUM(J131:J132)</f>
        <v>115018865</v>
      </c>
      <c r="O133" s="94"/>
      <c r="Q133" s="167"/>
      <c r="R133" s="210" t="s">
        <v>5798</v>
      </c>
      <c r="S133" s="210">
        <f>S132-1</f>
        <v>-20</v>
      </c>
      <c r="T133" s="210" t="s">
        <v>5799</v>
      </c>
      <c r="U133" s="210">
        <v>1328</v>
      </c>
      <c r="V133" s="97"/>
      <c r="W133" s="32"/>
      <c r="X133" s="32"/>
      <c r="Y133" s="94">
        <v>330820</v>
      </c>
      <c r="Z133" s="94"/>
      <c r="AA133" s="94"/>
      <c r="AH133" s="20">
        <v>113</v>
      </c>
      <c r="AI133" s="115" t="s">
        <v>4608</v>
      </c>
      <c r="AJ133" s="115">
        <v>-980000</v>
      </c>
      <c r="AK133" s="20">
        <v>0</v>
      </c>
      <c r="AL133" s="97">
        <f t="shared" si="65"/>
        <v>602</v>
      </c>
      <c r="AM133" s="115">
        <f t="shared" si="62"/>
        <v>-589960000</v>
      </c>
      <c r="AN133" s="20"/>
    </row>
    <row r="134" spans="7:43">
      <c r="G134" s="210"/>
      <c r="H134" s="210"/>
      <c r="I134" s="210" t="s">
        <v>902</v>
      </c>
      <c r="J134" s="210" t="s">
        <v>6</v>
      </c>
      <c r="Q134" s="167"/>
      <c r="R134" s="210" t="s">
        <v>5801</v>
      </c>
      <c r="S134" s="210">
        <f>S133-1</f>
        <v>-21</v>
      </c>
      <c r="T134" s="210" t="s">
        <v>5802</v>
      </c>
      <c r="U134" s="210"/>
      <c r="V134" s="97"/>
      <c r="W134" s="32"/>
      <c r="X134" s="32"/>
      <c r="Y134" s="94">
        <v>200791</v>
      </c>
      <c r="Z134" s="94"/>
      <c r="AA134" s="94"/>
      <c r="AH134" s="87">
        <v>114</v>
      </c>
      <c r="AI134" s="88" t="s">
        <v>4608</v>
      </c>
      <c r="AJ134" s="88">
        <v>13301790</v>
      </c>
      <c r="AK134" s="87">
        <v>0</v>
      </c>
      <c r="AL134" s="87">
        <f t="shared" si="65"/>
        <v>602</v>
      </c>
      <c r="AM134" s="88">
        <f t="shared" si="62"/>
        <v>8007677580</v>
      </c>
      <c r="AN134" s="87" t="s">
        <v>4609</v>
      </c>
      <c r="AQ134" t="s">
        <v>25</v>
      </c>
    </row>
    <row r="135" spans="7:43">
      <c r="G135" s="41"/>
      <c r="H135" s="41"/>
      <c r="I135" s="41"/>
      <c r="J135" s="41"/>
      <c r="K135" t="s">
        <v>25</v>
      </c>
      <c r="Q135" s="167"/>
      <c r="R135" s="210"/>
      <c r="S135" s="210"/>
      <c r="T135" s="210"/>
      <c r="U135" s="210"/>
      <c r="V135" s="97">
        <f>U135*(1+$R$99+$Q$15*S135/36500)</f>
        <v>0</v>
      </c>
      <c r="W135" s="32">
        <f t="shared" si="63"/>
        <v>0</v>
      </c>
      <c r="X135" s="32">
        <f t="shared" si="64"/>
        <v>0</v>
      </c>
      <c r="Y135" s="94"/>
      <c r="Z135" s="94"/>
      <c r="AH135" s="20">
        <v>115</v>
      </c>
      <c r="AI135" s="115" t="s">
        <v>4608</v>
      </c>
      <c r="AJ135" s="115">
        <v>404000</v>
      </c>
      <c r="AK135" s="20">
        <v>5</v>
      </c>
      <c r="AL135" s="97">
        <f t="shared" si="65"/>
        <v>602</v>
      </c>
      <c r="AM135" s="115">
        <f t="shared" si="62"/>
        <v>243208000</v>
      </c>
      <c r="AN135" s="20" t="s">
        <v>4615</v>
      </c>
    </row>
    <row r="136" spans="7:43">
      <c r="G136" s="210"/>
      <c r="H136" s="210" t="s">
        <v>5640</v>
      </c>
      <c r="I136" s="213" t="s">
        <v>5095</v>
      </c>
      <c r="J136" s="1">
        <v>10000000</v>
      </c>
      <c r="P136" t="s">
        <v>25</v>
      </c>
      <c r="Q136" s="167"/>
      <c r="R136" s="166"/>
      <c r="S136" s="166"/>
      <c r="T136" s="166" t="s">
        <v>25</v>
      </c>
      <c r="U136" s="166"/>
      <c r="V136" s="97">
        <f>U136*(1+$R$99+$Q$15*S136/36500)</f>
        <v>0</v>
      </c>
      <c r="W136" s="32">
        <f t="shared" si="63"/>
        <v>0</v>
      </c>
      <c r="X136" s="32">
        <f t="shared" si="64"/>
        <v>0</v>
      </c>
      <c r="Z136" t="s">
        <v>25</v>
      </c>
      <c r="AA136" s="94"/>
      <c r="AH136" s="87">
        <v>116</v>
      </c>
      <c r="AI136" s="88" t="s">
        <v>4625</v>
      </c>
      <c r="AJ136" s="88">
        <v>4291628</v>
      </c>
      <c r="AK136" s="87">
        <v>2</v>
      </c>
      <c r="AL136" s="87">
        <f t="shared" si="65"/>
        <v>597</v>
      </c>
      <c r="AM136" s="88">
        <f t="shared" si="62"/>
        <v>2562101916</v>
      </c>
      <c r="AN136" s="87" t="s">
        <v>4626</v>
      </c>
    </row>
    <row r="137" spans="7:43">
      <c r="G137" s="210"/>
      <c r="H137" s="210" t="s">
        <v>338</v>
      </c>
      <c r="I137" s="210"/>
      <c r="J137" s="1">
        <v>10000000</v>
      </c>
      <c r="Q137" s="111">
        <f>SUM(N41:N47)-SUM(Q103:Q136)</f>
        <v>2843962934.8345222</v>
      </c>
      <c r="R137" s="110"/>
      <c r="S137" s="110"/>
      <c r="T137" s="110"/>
      <c r="U137" s="166"/>
      <c r="V137" s="97" t="s">
        <v>25</v>
      </c>
      <c r="W137" s="32"/>
      <c r="X137" s="32"/>
      <c r="Y137" t="s">
        <v>25</v>
      </c>
      <c r="Z137" t="s">
        <v>25</v>
      </c>
      <c r="AA137" s="94"/>
      <c r="AH137" s="20">
        <v>117</v>
      </c>
      <c r="AI137" s="115" t="s">
        <v>4628</v>
      </c>
      <c r="AJ137" s="115">
        <v>1000</v>
      </c>
      <c r="AK137" s="20">
        <v>5</v>
      </c>
      <c r="AL137" s="20">
        <f t="shared" si="65"/>
        <v>595</v>
      </c>
      <c r="AM137" s="115">
        <f t="shared" si="62"/>
        <v>595000</v>
      </c>
      <c r="AN137" s="20"/>
    </row>
    <row r="138" spans="7:43">
      <c r="G138" s="210"/>
      <c r="H138" s="210"/>
      <c r="I138" s="278">
        <f>J138-J136</f>
        <v>0</v>
      </c>
      <c r="J138" s="1">
        <f>SUM(J137:J137)</f>
        <v>10000000</v>
      </c>
      <c r="K138" s="94"/>
      <c r="L138" s="94"/>
      <c r="M138" t="s">
        <v>25</v>
      </c>
      <c r="Q138" s="26"/>
      <c r="R138" s="179"/>
      <c r="S138" s="179"/>
      <c r="T138" t="s">
        <v>25</v>
      </c>
      <c r="U138" s="94" t="s">
        <v>25</v>
      </c>
      <c r="V138" s="94" t="s">
        <v>25</v>
      </c>
      <c r="W138" s="94" t="s">
        <v>25</v>
      </c>
      <c r="Y138" t="s">
        <v>25</v>
      </c>
      <c r="Z138" t="s">
        <v>25</v>
      </c>
      <c r="AH138" s="119">
        <v>118</v>
      </c>
      <c r="AI138" s="77" t="s">
        <v>4636</v>
      </c>
      <c r="AJ138" s="77">
        <v>8739459</v>
      </c>
      <c r="AK138" s="119">
        <v>2</v>
      </c>
      <c r="AL138" s="119">
        <f t="shared" si="65"/>
        <v>590</v>
      </c>
      <c r="AM138" s="77">
        <f t="shared" si="62"/>
        <v>5156280810</v>
      </c>
      <c r="AN138" s="119" t="s">
        <v>4596</v>
      </c>
    </row>
    <row r="139" spans="7:43">
      <c r="G139" s="210"/>
      <c r="H139" s="210"/>
      <c r="I139" s="210" t="s">
        <v>902</v>
      </c>
      <c r="J139" s="210" t="s">
        <v>6</v>
      </c>
      <c r="K139" s="94"/>
      <c r="R139" s="32" t="s">
        <v>4523</v>
      </c>
      <c r="S139" s="32" t="s">
        <v>935</v>
      </c>
      <c r="T139" t="s">
        <v>25</v>
      </c>
      <c r="U139" s="94" t="s">
        <v>25</v>
      </c>
      <c r="V139" s="94" t="s">
        <v>25</v>
      </c>
      <c r="W139" s="94" t="s">
        <v>25</v>
      </c>
      <c r="X139" s="120" t="s">
        <v>25</v>
      </c>
      <c r="Y139" t="s">
        <v>25</v>
      </c>
      <c r="Z139" t="s">
        <v>25</v>
      </c>
      <c r="AB139" t="s">
        <v>25</v>
      </c>
      <c r="AH139" s="119">
        <v>119</v>
      </c>
      <c r="AI139" s="77" t="s">
        <v>4637</v>
      </c>
      <c r="AJ139" s="77">
        <v>17595278</v>
      </c>
      <c r="AK139" s="119">
        <v>1</v>
      </c>
      <c r="AL139" s="119">
        <f t="shared" si="65"/>
        <v>588</v>
      </c>
      <c r="AM139" s="77">
        <f t="shared" si="62"/>
        <v>10346023464</v>
      </c>
      <c r="AN139" s="119" t="s">
        <v>4639</v>
      </c>
      <c r="AQ139" t="s">
        <v>25</v>
      </c>
    </row>
    <row r="140" spans="7:43">
      <c r="K140" s="94"/>
      <c r="L140" s="94"/>
      <c r="P140" s="112"/>
      <c r="R140" s="32">
        <v>26866</v>
      </c>
      <c r="S140" s="167">
        <v>476624224.64878917</v>
      </c>
      <c r="T140" t="s">
        <v>25</v>
      </c>
      <c r="U140" s="94" t="s">
        <v>25</v>
      </c>
      <c r="V140" s="120" t="s">
        <v>25</v>
      </c>
      <c r="W140" s="94" t="s">
        <v>25</v>
      </c>
      <c r="X140" t="s">
        <v>25</v>
      </c>
      <c r="Y140" t="s">
        <v>25</v>
      </c>
      <c r="Z140" t="s">
        <v>25</v>
      </c>
      <c r="AH140" s="119">
        <v>120</v>
      </c>
      <c r="AI140" s="77" t="s">
        <v>4638</v>
      </c>
      <c r="AJ140" s="77">
        <v>13335309</v>
      </c>
      <c r="AK140" s="119">
        <v>13</v>
      </c>
      <c r="AL140" s="119">
        <f t="shared" si="65"/>
        <v>587</v>
      </c>
      <c r="AM140" s="77">
        <f t="shared" si="62"/>
        <v>7827826383</v>
      </c>
      <c r="AN140" s="119" t="s">
        <v>4609</v>
      </c>
    </row>
    <row r="141" spans="7:43">
      <c r="K141" s="94"/>
      <c r="L141" s="94"/>
      <c r="M141" s="94"/>
      <c r="N141" s="94"/>
      <c r="O141" s="94"/>
      <c r="Q141" t="s">
        <v>25</v>
      </c>
      <c r="R141" s="32">
        <v>17589</v>
      </c>
      <c r="S141" s="1">
        <f>S140*R141/R140</f>
        <v>312042860.39408743</v>
      </c>
      <c r="T141" s="112" t="s">
        <v>25</v>
      </c>
      <c r="U141" s="94" t="s">
        <v>25</v>
      </c>
      <c r="V141" s="120" t="s">
        <v>25</v>
      </c>
      <c r="W141" s="94" t="s">
        <v>25</v>
      </c>
      <c r="X141" t="s">
        <v>25</v>
      </c>
      <c r="Y141" t="s">
        <v>25</v>
      </c>
      <c r="Z141" t="s">
        <v>25</v>
      </c>
      <c r="AH141" s="159">
        <v>121</v>
      </c>
      <c r="AI141" s="224" t="s">
        <v>4689</v>
      </c>
      <c r="AJ141" s="224">
        <v>50000000</v>
      </c>
      <c r="AK141" s="159">
        <v>11</v>
      </c>
      <c r="AL141" s="159">
        <f t="shared" si="65"/>
        <v>574</v>
      </c>
      <c r="AM141" s="224">
        <f t="shared" si="62"/>
        <v>28700000000</v>
      </c>
      <c r="AN141" s="159" t="s">
        <v>4691</v>
      </c>
      <c r="AP141" t="s">
        <v>25</v>
      </c>
    </row>
    <row r="142" spans="7:43">
      <c r="G142" s="210"/>
      <c r="H142" s="210" t="s">
        <v>5641</v>
      </c>
      <c r="I142" s="213" t="s">
        <v>5543</v>
      </c>
      <c r="J142" s="1">
        <v>150000000</v>
      </c>
      <c r="K142" s="94"/>
      <c r="L142" s="94"/>
      <c r="M142" s="94"/>
      <c r="N142" s="94"/>
      <c r="O142" s="94"/>
      <c r="R142" s="32">
        <f>R140-R141</f>
        <v>9277</v>
      </c>
      <c r="S142" s="1">
        <f>R142*S140/R140</f>
        <v>164581364.25470176</v>
      </c>
      <c r="T142" t="s">
        <v>25</v>
      </c>
      <c r="U142" s="120" t="s">
        <v>25</v>
      </c>
      <c r="V142" s="94"/>
      <c r="W142" s="120" t="s">
        <v>25</v>
      </c>
      <c r="X142" t="s">
        <v>25</v>
      </c>
      <c r="Y142" t="s">
        <v>25</v>
      </c>
      <c r="AA142" t="s">
        <v>25</v>
      </c>
      <c r="AH142" s="20">
        <v>122</v>
      </c>
      <c r="AI142" s="115" t="s">
        <v>959</v>
      </c>
      <c r="AJ142" s="115">
        <v>30000</v>
      </c>
      <c r="AK142" s="20">
        <v>3</v>
      </c>
      <c r="AL142" s="20">
        <f t="shared" si="65"/>
        <v>563</v>
      </c>
      <c r="AM142" s="115">
        <f t="shared" si="62"/>
        <v>16890000</v>
      </c>
      <c r="AN142" s="20"/>
    </row>
    <row r="143" spans="7:43">
      <c r="G143" s="1">
        <f>P45</f>
        <v>1287</v>
      </c>
      <c r="H143" s="210" t="s">
        <v>4221</v>
      </c>
      <c r="I143" s="210">
        <v>33318</v>
      </c>
      <c r="J143" s="1">
        <f>G143*I143</f>
        <v>42880266</v>
      </c>
      <c r="K143" s="94"/>
      <c r="L143" s="94" t="s">
        <v>25</v>
      </c>
      <c r="M143" s="94"/>
      <c r="N143" s="94"/>
      <c r="O143" s="94"/>
      <c r="T143" t="s">
        <v>25</v>
      </c>
      <c r="V143" s="94"/>
      <c r="W143"/>
      <c r="X143" t="s">
        <v>25</v>
      </c>
      <c r="Y143" t="s">
        <v>25</v>
      </c>
      <c r="AH143" s="20">
        <v>123</v>
      </c>
      <c r="AI143" s="115" t="s">
        <v>4750</v>
      </c>
      <c r="AJ143" s="115">
        <v>600000</v>
      </c>
      <c r="AK143" s="20">
        <v>1</v>
      </c>
      <c r="AL143" s="20">
        <f t="shared" si="65"/>
        <v>560</v>
      </c>
      <c r="AM143" s="115">
        <f t="shared" si="62"/>
        <v>336000000</v>
      </c>
      <c r="AN143" s="20"/>
    </row>
    <row r="144" spans="7:43">
      <c r="G144" s="1">
        <f>P44</f>
        <v>15700</v>
      </c>
      <c r="H144" s="210" t="s">
        <v>4363</v>
      </c>
      <c r="I144" s="210">
        <v>16447</v>
      </c>
      <c r="J144" s="1">
        <f>G144*I144</f>
        <v>258217900</v>
      </c>
      <c r="K144" s="94">
        <f>I144+2831</f>
        <v>19278</v>
      </c>
      <c r="L144" s="94"/>
      <c r="M144" s="94"/>
      <c r="N144" s="94"/>
      <c r="O144" s="94"/>
      <c r="Q144" s="94" t="s">
        <v>25</v>
      </c>
      <c r="R144" s="94"/>
      <c r="S144" s="94"/>
      <c r="T144" s="94"/>
      <c r="U144" s="317" t="s">
        <v>4410</v>
      </c>
      <c r="V144" s="317" t="s">
        <v>4423</v>
      </c>
      <c r="W144" s="317" t="s">
        <v>4424</v>
      </c>
      <c r="X144" t="s">
        <v>25</v>
      </c>
      <c r="Y144" t="s">
        <v>25</v>
      </c>
      <c r="AH144" s="20">
        <v>124</v>
      </c>
      <c r="AI144" s="115" t="s">
        <v>4753</v>
      </c>
      <c r="AJ144" s="115">
        <v>30000</v>
      </c>
      <c r="AK144" s="20">
        <v>3</v>
      </c>
      <c r="AL144" s="20">
        <f t="shared" si="65"/>
        <v>559</v>
      </c>
      <c r="AM144" s="115">
        <f t="shared" si="62"/>
        <v>16770000</v>
      </c>
      <c r="AN144" s="20"/>
    </row>
    <row r="145" spans="5:44">
      <c r="G145" s="210"/>
      <c r="H145" s="210"/>
      <c r="I145" s="210"/>
      <c r="J145" s="1"/>
      <c r="K145" s="94"/>
      <c r="L145" s="94"/>
      <c r="N145" s="94"/>
      <c r="O145" s="94"/>
      <c r="Q145" s="94"/>
      <c r="R145" s="94"/>
      <c r="S145" s="94" t="s">
        <v>25</v>
      </c>
      <c r="T145" s="120">
        <f>V146-V153</f>
        <v>2375564</v>
      </c>
      <c r="U145" s="317" t="s">
        <v>744</v>
      </c>
      <c r="V145" s="317">
        <v>1512197</v>
      </c>
      <c r="W145" s="88">
        <f>V145*$T$430</f>
        <v>3171099510.410809</v>
      </c>
      <c r="Y145" t="s">
        <v>25</v>
      </c>
      <c r="AH145" s="20">
        <v>125</v>
      </c>
      <c r="AI145" s="115" t="s">
        <v>4759</v>
      </c>
      <c r="AJ145" s="115">
        <v>2250000</v>
      </c>
      <c r="AK145" s="20">
        <v>1</v>
      </c>
      <c r="AL145" s="20">
        <f t="shared" si="65"/>
        <v>556</v>
      </c>
      <c r="AM145" s="115">
        <f>AJ145*AL145</f>
        <v>1251000000</v>
      </c>
      <c r="AN145" s="20"/>
      <c r="AR145" t="s">
        <v>25</v>
      </c>
    </row>
    <row r="146" spans="5:44">
      <c r="G146" s="210"/>
      <c r="H146" s="111"/>
      <c r="I146" s="278">
        <f>J146-J142</f>
        <v>151098166</v>
      </c>
      <c r="J146" s="1">
        <f>SUM(J143:J144)</f>
        <v>301098166</v>
      </c>
      <c r="K146" s="94"/>
      <c r="L146" s="94"/>
      <c r="M146" s="94"/>
      <c r="N146" s="94"/>
      <c r="O146" s="94"/>
      <c r="T146" s="120"/>
      <c r="U146" s="317" t="s">
        <v>4412</v>
      </c>
      <c r="V146" s="317">
        <v>2375564</v>
      </c>
      <c r="W146" s="88">
        <f>V146*$T$430</f>
        <v>4981592899.172226</v>
      </c>
      <c r="X146" s="94" t="s">
        <v>25</v>
      </c>
      <c r="Y146" t="s">
        <v>25</v>
      </c>
      <c r="Z146" t="s">
        <v>25</v>
      </c>
      <c r="AH146" s="23">
        <v>126</v>
      </c>
      <c r="AI146" s="35" t="s">
        <v>4764</v>
      </c>
      <c r="AJ146" s="35">
        <v>-31412200</v>
      </c>
      <c r="AK146" s="23">
        <v>1</v>
      </c>
      <c r="AL146" s="20">
        <f t="shared" si="65"/>
        <v>555</v>
      </c>
      <c r="AM146" s="35">
        <f>AJ146*AL146</f>
        <v>-17433771000</v>
      </c>
      <c r="AN146" s="23" t="s">
        <v>4752</v>
      </c>
    </row>
    <row r="147" spans="5:44">
      <c r="G147" s="210"/>
      <c r="H147" s="210"/>
      <c r="I147" s="210" t="s">
        <v>5497</v>
      </c>
      <c r="J147" s="210" t="s">
        <v>6</v>
      </c>
      <c r="K147" s="112"/>
      <c r="T147" s="94"/>
      <c r="U147" s="317" t="s">
        <v>4411</v>
      </c>
      <c r="V147" s="317">
        <v>51866</v>
      </c>
      <c r="W147" s="88">
        <f>V147*$T$430</f>
        <v>108763770.3334731</v>
      </c>
      <c r="X147" s="214"/>
      <c r="Y147" t="s">
        <v>25</v>
      </c>
      <c r="AH147" s="20">
        <v>127</v>
      </c>
      <c r="AI147" s="115" t="s">
        <v>4773</v>
      </c>
      <c r="AJ147" s="115">
        <v>70000</v>
      </c>
      <c r="AK147" s="20">
        <v>9</v>
      </c>
      <c r="AL147" s="20">
        <f t="shared" si="65"/>
        <v>554</v>
      </c>
      <c r="AM147" s="115">
        <f>AJ147*AL147</f>
        <v>38780000</v>
      </c>
      <c r="AN147" s="20"/>
    </row>
    <row r="148" spans="5:44">
      <c r="P148" s="112"/>
      <c r="Q148" t="s">
        <v>25</v>
      </c>
      <c r="R148" t="s">
        <v>25</v>
      </c>
      <c r="S148" t="s">
        <v>25</v>
      </c>
      <c r="T148" s="94"/>
      <c r="U148" s="317" t="s">
        <v>1071</v>
      </c>
      <c r="V148" s="317">
        <v>116856</v>
      </c>
      <c r="W148" s="88">
        <f>V148*$T$430</f>
        <v>245048763.08349079</v>
      </c>
      <c r="X148" s="113"/>
      <c r="Z148" t="s">
        <v>25</v>
      </c>
      <c r="AH148" s="97">
        <v>128</v>
      </c>
      <c r="AI148" s="111" t="s">
        <v>4780</v>
      </c>
      <c r="AJ148" s="111">
        <v>20000</v>
      </c>
      <c r="AK148" s="97">
        <v>10</v>
      </c>
      <c r="AL148" s="20">
        <f t="shared" si="65"/>
        <v>545</v>
      </c>
      <c r="AM148" s="115">
        <f>AJ148*AL148</f>
        <v>10900000</v>
      </c>
      <c r="AN148" s="20"/>
      <c r="AP148" t="s">
        <v>25</v>
      </c>
    </row>
    <row r="149" spans="5:44">
      <c r="K149" s="274"/>
      <c r="L149" s="286"/>
      <c r="P149" s="94"/>
      <c r="S149" t="s">
        <v>25</v>
      </c>
      <c r="T149" s="94"/>
      <c r="U149" s="317"/>
      <c r="V149" s="317"/>
      <c r="W149" s="317"/>
      <c r="X149" s="113"/>
      <c r="Y149" t="s">
        <v>25</v>
      </c>
      <c r="AH149" s="97">
        <v>129</v>
      </c>
      <c r="AI149" s="111" t="s">
        <v>4800</v>
      </c>
      <c r="AJ149" s="111">
        <v>1000000</v>
      </c>
      <c r="AK149" s="97">
        <v>1</v>
      </c>
      <c r="AL149" s="20">
        <f t="shared" si="65"/>
        <v>535</v>
      </c>
      <c r="AM149" s="115">
        <f>AJ149*AL149</f>
        <v>535000000</v>
      </c>
      <c r="AN149" s="20"/>
    </row>
    <row r="150" spans="5:44">
      <c r="E150" s="121"/>
      <c r="Q150" t="s">
        <v>25</v>
      </c>
      <c r="S150" t="s">
        <v>25</v>
      </c>
      <c r="T150" s="94" t="s">
        <v>25</v>
      </c>
      <c r="U150" s="87"/>
      <c r="V150" s="87"/>
      <c r="W150" s="87"/>
      <c r="X150" s="112"/>
      <c r="Y150" t="s">
        <v>25</v>
      </c>
      <c r="Z150" t="s">
        <v>25</v>
      </c>
      <c r="AC150" s="112"/>
      <c r="AD150" s="112"/>
      <c r="AH150" s="97">
        <v>130</v>
      </c>
      <c r="AI150" s="111" t="s">
        <v>4801</v>
      </c>
      <c r="AJ150" s="111">
        <v>65630227</v>
      </c>
      <c r="AK150" s="97">
        <v>0</v>
      </c>
      <c r="AL150" s="20">
        <f t="shared" si="65"/>
        <v>534</v>
      </c>
      <c r="AM150" s="115">
        <f t="shared" ref="AM150:AM177" si="66">AJ150*AL150</f>
        <v>35046541218</v>
      </c>
      <c r="AN150" s="20" t="s">
        <v>4804</v>
      </c>
      <c r="AP150" t="s">
        <v>25</v>
      </c>
      <c r="AR150" t="s">
        <v>25</v>
      </c>
    </row>
    <row r="151" spans="5:44">
      <c r="G151" s="97"/>
      <c r="H151" s="97"/>
      <c r="I151" s="97" t="s">
        <v>5739</v>
      </c>
      <c r="J151" s="1">
        <v>20000000</v>
      </c>
      <c r="Q151" s="94" t="s">
        <v>25</v>
      </c>
      <c r="R151" s="94"/>
      <c r="S151" s="94" t="s">
        <v>25</v>
      </c>
      <c r="T151" s="94" t="s">
        <v>25</v>
      </c>
      <c r="U151" s="87"/>
      <c r="V151" s="87"/>
      <c r="W151" s="87"/>
      <c r="X151" s="94"/>
      <c r="AC151" s="112"/>
      <c r="AH151" s="97">
        <v>131</v>
      </c>
      <c r="AI151" s="111" t="s">
        <v>4801</v>
      </c>
      <c r="AJ151" s="111">
        <v>-3500000</v>
      </c>
      <c r="AK151" s="97">
        <v>6</v>
      </c>
      <c r="AL151" s="20">
        <f t="shared" si="65"/>
        <v>534</v>
      </c>
      <c r="AM151" s="115">
        <f t="shared" si="66"/>
        <v>-1869000000</v>
      </c>
      <c r="AN151" s="20" t="s">
        <v>4803</v>
      </c>
    </row>
    <row r="152" spans="5:44">
      <c r="G152" s="97">
        <f>P45</f>
        <v>1287</v>
      </c>
      <c r="H152" s="97" t="s">
        <v>4221</v>
      </c>
      <c r="I152" s="97">
        <v>20174</v>
      </c>
      <c r="J152" s="1">
        <f>G152*I152</f>
        <v>25963938</v>
      </c>
      <c r="Q152" s="94"/>
      <c r="R152" s="94"/>
      <c r="S152" s="94"/>
      <c r="T152" s="94" t="s">
        <v>25</v>
      </c>
      <c r="U152" s="87"/>
      <c r="V152" s="87">
        <f>SUM(V145:V148)</f>
        <v>4056483</v>
      </c>
      <c r="W152" s="87"/>
      <c r="X152" s="94"/>
      <c r="Y152" t="s">
        <v>25</v>
      </c>
      <c r="Z152" t="s">
        <v>25</v>
      </c>
      <c r="AC152" s="112"/>
      <c r="AD152" s="112"/>
      <c r="AH152" s="97">
        <v>132</v>
      </c>
      <c r="AI152" s="111" t="s">
        <v>4813</v>
      </c>
      <c r="AJ152" s="111">
        <v>2520000</v>
      </c>
      <c r="AK152" s="97">
        <v>12</v>
      </c>
      <c r="AL152" s="20">
        <f t="shared" si="65"/>
        <v>528</v>
      </c>
      <c r="AM152" s="115">
        <f t="shared" si="66"/>
        <v>1330560000</v>
      </c>
      <c r="AN152" s="20"/>
    </row>
    <row r="153" spans="5:44">
      <c r="G153" s="97">
        <f>P44</f>
        <v>15700</v>
      </c>
      <c r="H153" s="97" t="s">
        <v>4363</v>
      </c>
      <c r="I153" s="97">
        <v>1150</v>
      </c>
      <c r="J153" s="1">
        <f>G153*I153</f>
        <v>18055000</v>
      </c>
      <c r="N153" s="94"/>
      <c r="O153" s="94"/>
      <c r="P153" s="112"/>
      <c r="Q153" s="94"/>
      <c r="R153" s="94"/>
      <c r="S153" s="94"/>
      <c r="T153" s="94" t="s">
        <v>25</v>
      </c>
      <c r="U153" s="87"/>
      <c r="V153" s="87">
        <f>V152-U427</f>
        <v>0</v>
      </c>
      <c r="W153" s="87"/>
      <c r="X153" s="94"/>
      <c r="AH153" s="97">
        <v>133</v>
      </c>
      <c r="AI153" s="111" t="s">
        <v>4848</v>
      </c>
      <c r="AJ153" s="111">
        <v>1400000</v>
      </c>
      <c r="AK153" s="97">
        <v>4</v>
      </c>
      <c r="AL153" s="20">
        <f t="shared" si="65"/>
        <v>516</v>
      </c>
      <c r="AM153" s="115">
        <f t="shared" si="66"/>
        <v>722400000</v>
      </c>
      <c r="AN153" s="20"/>
    </row>
    <row r="154" spans="5:44">
      <c r="G154" s="97"/>
      <c r="H154" s="97"/>
      <c r="I154" s="97"/>
      <c r="J154" s="1"/>
      <c r="N154" s="94"/>
      <c r="O154" s="94"/>
      <c r="P154" s="112"/>
      <c r="Q154" s="94" t="s">
        <v>25</v>
      </c>
      <c r="R154" s="94"/>
      <c r="S154" s="94"/>
      <c r="T154" s="94"/>
      <c r="U154" s="87"/>
      <c r="V154" s="87" t="s">
        <v>4948</v>
      </c>
      <c r="W154" s="140">
        <f>W145-R162</f>
        <v>170848600.41080904</v>
      </c>
      <c r="X154" s="94"/>
      <c r="Y154" t="s">
        <v>25</v>
      </c>
      <c r="AH154" s="97">
        <v>134</v>
      </c>
      <c r="AI154" s="111" t="s">
        <v>4870</v>
      </c>
      <c r="AJ154" s="111">
        <v>1550000</v>
      </c>
      <c r="AK154" s="97">
        <v>2</v>
      </c>
      <c r="AL154" s="20">
        <f t="shared" si="65"/>
        <v>512</v>
      </c>
      <c r="AM154" s="115">
        <f t="shared" si="66"/>
        <v>793600000</v>
      </c>
      <c r="AN154" s="20"/>
    </row>
    <row r="155" spans="5:44">
      <c r="G155" s="97">
        <v>1</v>
      </c>
      <c r="H155" s="97" t="s">
        <v>5573</v>
      </c>
      <c r="I155" s="97">
        <v>0</v>
      </c>
      <c r="J155" s="1">
        <f>I155</f>
        <v>0</v>
      </c>
      <c r="N155" s="94"/>
      <c r="O155" s="94"/>
      <c r="P155" s="112"/>
      <c r="Q155" s="94"/>
      <c r="R155" s="94"/>
      <c r="S155" s="94"/>
      <c r="T155" s="94"/>
      <c r="U155" s="87"/>
      <c r="V155" s="87" t="s">
        <v>4949</v>
      </c>
      <c r="W155" s="140">
        <f>W148+W147-R163</f>
        <v>74214426.416963875</v>
      </c>
      <c r="X155" s="113"/>
      <c r="Y155" t="s">
        <v>25</v>
      </c>
      <c r="AH155" s="97">
        <v>135</v>
      </c>
      <c r="AI155" s="111" t="s">
        <v>4820</v>
      </c>
      <c r="AJ155" s="111">
        <v>250000</v>
      </c>
      <c r="AK155" s="97">
        <v>6</v>
      </c>
      <c r="AL155" s="20">
        <f t="shared" si="65"/>
        <v>510</v>
      </c>
      <c r="AM155" s="115">
        <f t="shared" si="66"/>
        <v>127500000</v>
      </c>
      <c r="AN155" s="20"/>
    </row>
    <row r="156" spans="5:44">
      <c r="G156" s="97"/>
      <c r="H156" s="97" t="s">
        <v>938</v>
      </c>
      <c r="I156" s="267">
        <f>J152+J153+J154+J155-J151</f>
        <v>24018938</v>
      </c>
      <c r="J156" s="1"/>
      <c r="K156" t="s">
        <v>25</v>
      </c>
      <c r="N156" s="94"/>
      <c r="O156" s="94"/>
      <c r="P156" s="112"/>
      <c r="Q156" s="94"/>
      <c r="R156" s="94"/>
      <c r="S156" s="94"/>
      <c r="T156" s="94"/>
      <c r="V156" s="94"/>
      <c r="Y156" t="s">
        <v>25</v>
      </c>
      <c r="AH156" s="97">
        <v>136</v>
      </c>
      <c r="AI156" s="111" t="s">
        <v>4879</v>
      </c>
      <c r="AJ156" s="111">
        <v>-48527480</v>
      </c>
      <c r="AK156" s="97">
        <v>14</v>
      </c>
      <c r="AL156" s="20">
        <f t="shared" si="65"/>
        <v>504</v>
      </c>
      <c r="AM156" s="115">
        <f t="shared" si="66"/>
        <v>-24457849920</v>
      </c>
      <c r="AN156" s="20" t="s">
        <v>4881</v>
      </c>
    </row>
    <row r="157" spans="5:44">
      <c r="N157" s="94"/>
      <c r="O157" s="94"/>
      <c r="P157" s="112"/>
      <c r="Q157" s="94"/>
      <c r="R157" s="94"/>
      <c r="S157" s="94"/>
      <c r="T157" s="94" t="s">
        <v>25</v>
      </c>
      <c r="V157" s="94"/>
      <c r="AH157" s="97">
        <v>137</v>
      </c>
      <c r="AI157" s="111" t="s">
        <v>4902</v>
      </c>
      <c r="AJ157" s="111">
        <v>2100000</v>
      </c>
      <c r="AK157" s="97">
        <v>1</v>
      </c>
      <c r="AL157" s="20">
        <f t="shared" si="65"/>
        <v>490</v>
      </c>
      <c r="AM157" s="115">
        <f t="shared" si="66"/>
        <v>1029000000</v>
      </c>
      <c r="AN157" s="20"/>
    </row>
    <row r="158" spans="5:44">
      <c r="J158" s="112"/>
      <c r="N158" s="94"/>
      <c r="O158" s="94"/>
      <c r="P158" s="112"/>
      <c r="S158" s="94"/>
      <c r="T158" s="94"/>
      <c r="V158" s="94"/>
      <c r="AH158" s="97">
        <v>138</v>
      </c>
      <c r="AI158" s="111" t="s">
        <v>4905</v>
      </c>
      <c r="AJ158" s="111">
        <v>100000</v>
      </c>
      <c r="AK158" s="97">
        <v>4</v>
      </c>
      <c r="AL158" s="20">
        <f>AL159+AK158</f>
        <v>489</v>
      </c>
      <c r="AM158" s="115">
        <f t="shared" si="66"/>
        <v>48900000</v>
      </c>
      <c r="AN158" s="20"/>
    </row>
    <row r="159" spans="5:44">
      <c r="J159" s="112"/>
      <c r="N159" s="94"/>
      <c r="O159" s="94"/>
      <c r="P159" s="112"/>
      <c r="Q159" s="94"/>
      <c r="R159" s="94"/>
      <c r="S159" s="94"/>
      <c r="T159" s="97" t="s">
        <v>180</v>
      </c>
      <c r="U159" s="97" t="s">
        <v>4439</v>
      </c>
      <c r="V159" s="97" t="s">
        <v>4440</v>
      </c>
      <c r="W159" s="97" t="s">
        <v>4450</v>
      </c>
      <c r="X159" s="97" t="s">
        <v>8</v>
      </c>
      <c r="Y159" t="s">
        <v>25</v>
      </c>
      <c r="AH159" s="97">
        <v>139</v>
      </c>
      <c r="AI159" s="111" t="s">
        <v>4910</v>
      </c>
      <c r="AJ159" s="111">
        <v>900000</v>
      </c>
      <c r="AK159" s="97">
        <v>0</v>
      </c>
      <c r="AL159" s="20">
        <f t="shared" ref="AL159:AL168" si="67">AL160+AK159</f>
        <v>485</v>
      </c>
      <c r="AM159" s="115">
        <f t="shared" ref="AM159:AM168" si="68">AJ159*AL159</f>
        <v>436500000</v>
      </c>
      <c r="AN159" s="20"/>
      <c r="AP159" t="s">
        <v>25</v>
      </c>
    </row>
    <row r="160" spans="5:44">
      <c r="J160" s="112"/>
      <c r="L160" t="s">
        <v>25</v>
      </c>
      <c r="P160" s="112"/>
      <c r="Q160" s="94"/>
      <c r="R160" s="94"/>
      <c r="S160" s="94"/>
      <c r="T160" s="111" t="s">
        <v>4422</v>
      </c>
      <c r="U160" s="54">
        <v>1000000</v>
      </c>
      <c r="V160" s="111">
        <v>239.024</v>
      </c>
      <c r="W160" s="111">
        <f t="shared" ref="W160:W261" si="69">U160*V160</f>
        <v>239024000</v>
      </c>
      <c r="X160" s="97"/>
      <c r="AH160" s="97">
        <v>140</v>
      </c>
      <c r="AI160" s="111" t="s">
        <v>4910</v>
      </c>
      <c r="AJ160" s="111">
        <v>1100000</v>
      </c>
      <c r="AK160" s="97">
        <v>0</v>
      </c>
      <c r="AL160" s="20">
        <f t="shared" si="67"/>
        <v>485</v>
      </c>
      <c r="AM160" s="115">
        <f t="shared" si="68"/>
        <v>533500000</v>
      </c>
      <c r="AN160" s="20" t="s">
        <v>4924</v>
      </c>
      <c r="AQ160" t="s">
        <v>25</v>
      </c>
    </row>
    <row r="161" spans="7:43">
      <c r="P161" s="112"/>
      <c r="Q161" s="36" t="s">
        <v>4522</v>
      </c>
      <c r="R161" s="93">
        <f>SUM(N41:N47)</f>
        <v>5217620541</v>
      </c>
      <c r="T161" s="166" t="s">
        <v>4404</v>
      </c>
      <c r="U161" s="54">
        <v>5904</v>
      </c>
      <c r="V161" s="111">
        <v>237.148</v>
      </c>
      <c r="W161" s="111">
        <f t="shared" si="69"/>
        <v>1400121.7919999999</v>
      </c>
      <c r="X161" s="97" t="s">
        <v>744</v>
      </c>
      <c r="Z161" t="s">
        <v>25</v>
      </c>
      <c r="AH161" s="97">
        <v>141</v>
      </c>
      <c r="AI161" s="111" t="s">
        <v>4910</v>
      </c>
      <c r="AJ161" s="111">
        <v>115000</v>
      </c>
      <c r="AK161" s="97"/>
      <c r="AL161" s="20">
        <f t="shared" si="67"/>
        <v>485</v>
      </c>
      <c r="AM161" s="115">
        <f t="shared" si="68"/>
        <v>55775000</v>
      </c>
      <c r="AN161" s="20"/>
      <c r="AQ161" t="s">
        <v>25</v>
      </c>
    </row>
    <row r="162" spans="7:43">
      <c r="J162" s="112"/>
      <c r="N162" s="112"/>
      <c r="O162" s="112"/>
      <c r="P162" s="112"/>
      <c r="Q162" s="97" t="s">
        <v>4413</v>
      </c>
      <c r="R162" s="93">
        <f>SUM(N21:N23)</f>
        <v>3000250910</v>
      </c>
      <c r="T162" s="166" t="s">
        <v>4210</v>
      </c>
      <c r="U162" s="166">
        <v>1000</v>
      </c>
      <c r="V162" s="111">
        <v>247.393</v>
      </c>
      <c r="W162" s="111">
        <f t="shared" si="69"/>
        <v>247393</v>
      </c>
      <c r="X162" s="97" t="s">
        <v>744</v>
      </c>
      <c r="Y162" t="s">
        <v>25</v>
      </c>
      <c r="AH162" s="97">
        <v>142</v>
      </c>
      <c r="AI162" s="111" t="s">
        <v>4918</v>
      </c>
      <c r="AJ162" s="111">
        <v>-1100000</v>
      </c>
      <c r="AK162" s="97"/>
      <c r="AL162" s="20">
        <f t="shared" si="67"/>
        <v>485</v>
      </c>
      <c r="AM162" s="115">
        <f t="shared" si="68"/>
        <v>-533500000</v>
      </c>
      <c r="AN162" s="20" t="s">
        <v>4925</v>
      </c>
      <c r="AQ162" t="s">
        <v>25</v>
      </c>
    </row>
    <row r="163" spans="7:43">
      <c r="O163" s="112"/>
      <c r="P163" s="112"/>
      <c r="Q163" s="97" t="s">
        <v>4414</v>
      </c>
      <c r="R163" s="93">
        <f>SUM(N26:N28)</f>
        <v>279598107</v>
      </c>
      <c r="T163" s="166" t="s">
        <v>4451</v>
      </c>
      <c r="U163" s="166">
        <v>8071</v>
      </c>
      <c r="V163" s="111">
        <v>247.797</v>
      </c>
      <c r="W163" s="111">
        <f t="shared" si="69"/>
        <v>1999969.5870000001</v>
      </c>
      <c r="X163" s="97" t="s">
        <v>4411</v>
      </c>
      <c r="Y163" t="s">
        <v>25</v>
      </c>
      <c r="AA163" t="s">
        <v>25</v>
      </c>
      <c r="AH163" s="97">
        <v>143</v>
      </c>
      <c r="AI163" s="111" t="s">
        <v>4918</v>
      </c>
      <c r="AJ163" s="111">
        <v>900000</v>
      </c>
      <c r="AK163" s="97">
        <v>1</v>
      </c>
      <c r="AL163" s="20">
        <f t="shared" si="67"/>
        <v>485</v>
      </c>
      <c r="AM163" s="115">
        <f t="shared" si="68"/>
        <v>436500000</v>
      </c>
      <c r="AN163" s="20" t="s">
        <v>4924</v>
      </c>
    </row>
    <row r="164" spans="7:43">
      <c r="G164" s="32" t="s">
        <v>4221</v>
      </c>
      <c r="H164" s="32"/>
      <c r="I164" s="32" t="s">
        <v>4363</v>
      </c>
      <c r="N164" s="112"/>
      <c r="O164" s="112"/>
      <c r="P164" s="112"/>
      <c r="Q164" s="97" t="s">
        <v>4415</v>
      </c>
      <c r="R164" s="93">
        <f>N39</f>
        <v>303</v>
      </c>
      <c r="T164" s="166" t="s">
        <v>4451</v>
      </c>
      <c r="U164" s="166">
        <v>53672</v>
      </c>
      <c r="V164" s="111">
        <v>247.797</v>
      </c>
      <c r="W164" s="111">
        <f t="shared" si="69"/>
        <v>13299760.584000001</v>
      </c>
      <c r="X164" s="97" t="s">
        <v>452</v>
      </c>
      <c r="Y164" t="s">
        <v>25</v>
      </c>
      <c r="AH164" s="97">
        <v>144</v>
      </c>
      <c r="AI164" s="111" t="s">
        <v>4922</v>
      </c>
      <c r="AJ164" s="111">
        <v>2000000</v>
      </c>
      <c r="AK164" s="97">
        <v>0</v>
      </c>
      <c r="AL164" s="20">
        <f t="shared" si="67"/>
        <v>484</v>
      </c>
      <c r="AM164" s="115">
        <f t="shared" si="68"/>
        <v>968000000</v>
      </c>
      <c r="AN164" s="20"/>
    </row>
    <row r="165" spans="7:43">
      <c r="G165" s="32">
        <f>O21+O28+O45+I143</f>
        <v>5019952</v>
      </c>
      <c r="H165" s="32" t="s">
        <v>5521</v>
      </c>
      <c r="I165" s="32">
        <f>O22+O26+O44+I144+O41</f>
        <v>124871</v>
      </c>
      <c r="J165" s="112"/>
      <c r="K165" s="112"/>
      <c r="L165" s="94"/>
      <c r="P165" s="112"/>
      <c r="Q165" s="97" t="s">
        <v>4416</v>
      </c>
      <c r="R165" s="93">
        <f>N20</f>
        <v>2595</v>
      </c>
      <c r="T165" s="166" t="s">
        <v>4459</v>
      </c>
      <c r="U165" s="166">
        <v>4099</v>
      </c>
      <c r="V165" s="111">
        <v>243.93</v>
      </c>
      <c r="W165" s="111">
        <f t="shared" si="69"/>
        <v>999869.07000000007</v>
      </c>
      <c r="X165" s="97" t="s">
        <v>4411</v>
      </c>
      <c r="AH165" s="97">
        <v>145</v>
      </c>
      <c r="AI165" s="111" t="s">
        <v>4922</v>
      </c>
      <c r="AJ165" s="111">
        <v>360000</v>
      </c>
      <c r="AK165" s="97">
        <v>1</v>
      </c>
      <c r="AL165" s="20">
        <f t="shared" si="67"/>
        <v>484</v>
      </c>
      <c r="AM165" s="115">
        <f t="shared" si="68"/>
        <v>174240000</v>
      </c>
      <c r="AN165" s="20"/>
    </row>
    <row r="166" spans="7:43">
      <c r="G166" s="32">
        <f>(J144+N27+N22+N23+N26+N43+N44+N41)/P45</f>
        <v>1816541.958041958</v>
      </c>
      <c r="H166" s="294" t="s">
        <v>5522</v>
      </c>
      <c r="I166" s="32">
        <f>(J143+N27+N45+N43+N28+N23+N21)/P44</f>
        <v>435547.32636942674</v>
      </c>
      <c r="J166" s="112"/>
      <c r="K166" s="94"/>
      <c r="L166" s="94"/>
      <c r="O166" s="112"/>
      <c r="P166" s="112"/>
      <c r="Q166" s="97" t="s">
        <v>4417</v>
      </c>
      <c r="R166" s="93">
        <f>N25</f>
        <v>32509</v>
      </c>
      <c r="T166" s="166" t="s">
        <v>4459</v>
      </c>
      <c r="U166" s="166">
        <v>9301</v>
      </c>
      <c r="V166" s="111">
        <v>243.93</v>
      </c>
      <c r="W166" s="111">
        <f t="shared" si="69"/>
        <v>2268792.9300000002</v>
      </c>
      <c r="X166" s="97" t="s">
        <v>452</v>
      </c>
      <c r="Z166" t="s">
        <v>25</v>
      </c>
      <c r="AH166" s="97">
        <v>146</v>
      </c>
      <c r="AI166" s="111" t="s">
        <v>4923</v>
      </c>
      <c r="AJ166" s="111">
        <v>3000000</v>
      </c>
      <c r="AK166" s="97">
        <v>1</v>
      </c>
      <c r="AL166" s="20">
        <f t="shared" si="67"/>
        <v>483</v>
      </c>
      <c r="AM166" s="115">
        <f t="shared" si="68"/>
        <v>1449000000</v>
      </c>
      <c r="AN166" s="20"/>
    </row>
    <row r="167" spans="7:43">
      <c r="G167" s="32">
        <f>G165+G166</f>
        <v>6836493.9580419585</v>
      </c>
      <c r="H167" s="32" t="s">
        <v>5523</v>
      </c>
      <c r="I167" s="32">
        <f>I165+I166</f>
        <v>560418.32636942668</v>
      </c>
      <c r="J167" s="112"/>
      <c r="K167" s="94"/>
      <c r="L167" s="94"/>
      <c r="O167" s="112"/>
      <c r="P167" s="112"/>
      <c r="Q167" s="97" t="s">
        <v>5757</v>
      </c>
      <c r="R167" s="93">
        <v>9000000</v>
      </c>
      <c r="S167" t="s">
        <v>25</v>
      </c>
      <c r="T167" s="166" t="s">
        <v>4464</v>
      </c>
      <c r="U167" s="166">
        <v>8334</v>
      </c>
      <c r="V167" s="111">
        <v>239.97</v>
      </c>
      <c r="W167" s="111">
        <f t="shared" si="69"/>
        <v>1999909.98</v>
      </c>
      <c r="X167" s="97" t="s">
        <v>4411</v>
      </c>
      <c r="AH167" s="97">
        <v>147</v>
      </c>
      <c r="AI167" s="111" t="s">
        <v>4921</v>
      </c>
      <c r="AJ167" s="111">
        <v>-658226</v>
      </c>
      <c r="AK167" s="97">
        <v>1</v>
      </c>
      <c r="AL167" s="20">
        <f t="shared" si="67"/>
        <v>482</v>
      </c>
      <c r="AM167" s="115">
        <f t="shared" si="68"/>
        <v>-317264932</v>
      </c>
      <c r="AN167" s="20"/>
    </row>
    <row r="168" spans="7:43">
      <c r="G168" s="32">
        <f>(W147+W148)/P45</f>
        <v>274912.61337759433</v>
      </c>
      <c r="H168" s="32" t="s">
        <v>5498</v>
      </c>
      <c r="I168" s="32">
        <f>(W147+W148)/P44</f>
        <v>22535.830153946743</v>
      </c>
      <c r="J168" s="112"/>
      <c r="K168" s="94"/>
      <c r="L168" s="94"/>
      <c r="P168" s="112"/>
      <c r="Q168" s="97" t="s">
        <v>5082</v>
      </c>
      <c r="R168" s="93">
        <v>0</v>
      </c>
      <c r="T168" s="166" t="s">
        <v>4209</v>
      </c>
      <c r="U168" s="166">
        <v>29041</v>
      </c>
      <c r="V168" s="111">
        <v>233.45</v>
      </c>
      <c r="W168" s="111">
        <f t="shared" si="69"/>
        <v>6779621.4499999993</v>
      </c>
      <c r="X168" s="97" t="s">
        <v>744</v>
      </c>
      <c r="Y168" s="120" t="s">
        <v>25</v>
      </c>
      <c r="AH168" s="97">
        <v>148</v>
      </c>
      <c r="AI168" s="111" t="s">
        <v>4926</v>
      </c>
      <c r="AJ168" s="111">
        <v>1000000</v>
      </c>
      <c r="AK168" s="97">
        <v>15</v>
      </c>
      <c r="AL168" s="20">
        <f t="shared" si="67"/>
        <v>481</v>
      </c>
      <c r="AM168" s="115">
        <f t="shared" si="68"/>
        <v>481000000</v>
      </c>
      <c r="AN168" s="20"/>
      <c r="AP168" t="s">
        <v>25</v>
      </c>
    </row>
    <row r="169" spans="7:43">
      <c r="G169" s="32">
        <f>W145/P45</f>
        <v>2463946.783535982</v>
      </c>
      <c r="H169" s="32" t="s">
        <v>481</v>
      </c>
      <c r="I169" s="32">
        <f>W145/P44</f>
        <v>201980.86053572033</v>
      </c>
      <c r="J169" s="112"/>
      <c r="K169" s="94"/>
      <c r="L169" s="94"/>
      <c r="P169" s="112"/>
      <c r="Q169" s="97" t="s">
        <v>5685</v>
      </c>
      <c r="R169" s="93">
        <v>-22</v>
      </c>
      <c r="S169" s="94"/>
      <c r="T169" s="166" t="s">
        <v>979</v>
      </c>
      <c r="U169" s="166">
        <v>12337</v>
      </c>
      <c r="V169" s="111">
        <v>243.16300000000001</v>
      </c>
      <c r="W169" s="111">
        <f t="shared" si="69"/>
        <v>2999901.9310000003</v>
      </c>
      <c r="X169" s="97" t="s">
        <v>4411</v>
      </c>
      <c r="AH169" s="97">
        <v>149</v>
      </c>
      <c r="AI169" s="111" t="s">
        <v>4954</v>
      </c>
      <c r="AJ169" s="111">
        <v>1130250</v>
      </c>
      <c r="AK169" s="97">
        <v>5</v>
      </c>
      <c r="AL169" s="20">
        <f t="shared" si="65"/>
        <v>466</v>
      </c>
      <c r="AM169" s="115">
        <f t="shared" si="66"/>
        <v>526696500</v>
      </c>
      <c r="AN169" s="20"/>
    </row>
    <row r="170" spans="7:43">
      <c r="G170" s="32">
        <f>G167-G168-G169</f>
        <v>4097634.5611283821</v>
      </c>
      <c r="H170" s="32" t="s">
        <v>5</v>
      </c>
      <c r="I170" s="32">
        <f>I167-I168-I169</f>
        <v>335901.63567975955</v>
      </c>
      <c r="J170" s="112"/>
      <c r="K170" s="94"/>
      <c r="L170" s="94"/>
      <c r="M170" t="s">
        <v>25</v>
      </c>
      <c r="P170" s="112"/>
      <c r="Q170" s="97"/>
      <c r="R170" s="93">
        <v>0</v>
      </c>
      <c r="S170" s="94"/>
      <c r="T170" s="166" t="s">
        <v>4540</v>
      </c>
      <c r="U170" s="166">
        <v>-16118</v>
      </c>
      <c r="V170" s="111">
        <v>248.17</v>
      </c>
      <c r="W170" s="111">
        <f t="shared" si="69"/>
        <v>-4000004.0599999996</v>
      </c>
      <c r="X170" s="97" t="s">
        <v>744</v>
      </c>
      <c r="Y170" t="s">
        <v>25</v>
      </c>
      <c r="AE170" s="94" t="s">
        <v>25</v>
      </c>
      <c r="AH170" s="97">
        <v>150</v>
      </c>
      <c r="AI170" s="111" t="s">
        <v>4962</v>
      </c>
      <c r="AJ170" s="111">
        <v>206000</v>
      </c>
      <c r="AK170" s="97">
        <v>2</v>
      </c>
      <c r="AL170" s="20">
        <f t="shared" si="65"/>
        <v>461</v>
      </c>
      <c r="AM170" s="115">
        <f t="shared" si="66"/>
        <v>94966000</v>
      </c>
      <c r="AN170" s="20"/>
    </row>
    <row r="171" spans="7:43">
      <c r="P171" s="112"/>
      <c r="Q171" s="97"/>
      <c r="R171" s="93"/>
      <c r="T171" s="166" t="s">
        <v>4562</v>
      </c>
      <c r="U171" s="166">
        <v>101681</v>
      </c>
      <c r="V171" s="111">
        <v>246.5711</v>
      </c>
      <c r="W171" s="111">
        <f t="shared" si="69"/>
        <v>25071596.019099999</v>
      </c>
      <c r="X171" s="97" t="s">
        <v>452</v>
      </c>
      <c r="AH171" s="97">
        <v>151</v>
      </c>
      <c r="AI171" s="111" t="s">
        <v>4969</v>
      </c>
      <c r="AJ171" s="111">
        <v>50000</v>
      </c>
      <c r="AK171" s="97">
        <v>2</v>
      </c>
      <c r="AL171" s="20">
        <f t="shared" si="65"/>
        <v>459</v>
      </c>
      <c r="AM171" s="115">
        <f t="shared" si="66"/>
        <v>22950000</v>
      </c>
      <c r="AN171" s="20"/>
    </row>
    <row r="172" spans="7:43">
      <c r="P172" s="112"/>
      <c r="Q172" s="97"/>
      <c r="R172" s="93"/>
      <c r="S172" s="94"/>
      <c r="T172" s="166" t="s">
        <v>4566</v>
      </c>
      <c r="U172" s="166">
        <v>66606</v>
      </c>
      <c r="V172" s="111">
        <v>251.131</v>
      </c>
      <c r="W172" s="111">
        <f t="shared" si="69"/>
        <v>16726831.386</v>
      </c>
      <c r="X172" s="97" t="s">
        <v>744</v>
      </c>
      <c r="AH172" s="97">
        <v>152</v>
      </c>
      <c r="AI172" s="111" t="s">
        <v>4973</v>
      </c>
      <c r="AJ172" s="111">
        <v>105000</v>
      </c>
      <c r="AK172" s="97">
        <v>4</v>
      </c>
      <c r="AL172" s="20">
        <f t="shared" si="65"/>
        <v>457</v>
      </c>
      <c r="AM172" s="115">
        <f t="shared" si="66"/>
        <v>47985000</v>
      </c>
      <c r="AN172" s="20"/>
    </row>
    <row r="173" spans="7:43">
      <c r="K173" s="94"/>
      <c r="L173" s="94"/>
      <c r="P173" s="112"/>
      <c r="Q173" s="97" t="s">
        <v>5083</v>
      </c>
      <c r="R173" s="93">
        <v>0</v>
      </c>
      <c r="S173" s="113" t="s">
        <v>25</v>
      </c>
      <c r="T173" s="166" t="s">
        <v>4571</v>
      </c>
      <c r="U173" s="166">
        <v>172025</v>
      </c>
      <c r="V173" s="111">
        <v>245.52809999999999</v>
      </c>
      <c r="W173" s="111">
        <f t="shared" si="69"/>
        <v>42236971.402499996</v>
      </c>
      <c r="X173" s="97" t="s">
        <v>452</v>
      </c>
      <c r="AH173" s="97">
        <v>153</v>
      </c>
      <c r="AI173" s="111" t="s">
        <v>4977</v>
      </c>
      <c r="AJ173" s="111">
        <v>5000000</v>
      </c>
      <c r="AK173" s="97">
        <v>1</v>
      </c>
      <c r="AL173" s="20">
        <f t="shared" si="65"/>
        <v>453</v>
      </c>
      <c r="AM173" s="115">
        <f t="shared" si="66"/>
        <v>2265000000</v>
      </c>
      <c r="AN173" s="20"/>
    </row>
    <row r="174" spans="7:43">
      <c r="P174" s="112"/>
      <c r="Q174" s="97"/>
      <c r="R174" s="93"/>
      <c r="S174" s="120" t="s">
        <v>25</v>
      </c>
      <c r="T174" s="166" t="s">
        <v>4571</v>
      </c>
      <c r="U174" s="166">
        <v>189227</v>
      </c>
      <c r="V174" s="111">
        <v>245.52809999999999</v>
      </c>
      <c r="W174" s="111">
        <f t="shared" si="69"/>
        <v>46460545.778700002</v>
      </c>
      <c r="X174" s="97" t="s">
        <v>744</v>
      </c>
      <c r="AH174" s="97">
        <v>154</v>
      </c>
      <c r="AI174" s="111" t="s">
        <v>4978</v>
      </c>
      <c r="AJ174" s="111">
        <v>2500000</v>
      </c>
      <c r="AK174" s="97">
        <v>2</v>
      </c>
      <c r="AL174" s="20">
        <f t="shared" si="65"/>
        <v>452</v>
      </c>
      <c r="AM174" s="115">
        <f t="shared" si="66"/>
        <v>1130000000</v>
      </c>
      <c r="AN174" s="20"/>
    </row>
    <row r="175" spans="7:43">
      <c r="G175" s="32" t="s">
        <v>180</v>
      </c>
      <c r="H175" s="32" t="s">
        <v>5524</v>
      </c>
      <c r="I175" s="210" t="s">
        <v>5525</v>
      </c>
      <c r="J175" s="210" t="s">
        <v>5526</v>
      </c>
      <c r="K175" s="32" t="s">
        <v>5527</v>
      </c>
      <c r="L175" s="97" t="s">
        <v>5541</v>
      </c>
      <c r="M175" s="97" t="s">
        <v>5542</v>
      </c>
      <c r="P175" s="112"/>
      <c r="Q175" s="97"/>
      <c r="R175" s="93"/>
      <c r="S175" s="113"/>
      <c r="T175" s="166" t="s">
        <v>4572</v>
      </c>
      <c r="U175" s="166">
        <v>79720</v>
      </c>
      <c r="V175" s="111">
        <v>246.6568</v>
      </c>
      <c r="W175" s="111">
        <f t="shared" si="69"/>
        <v>19663480.096000001</v>
      </c>
      <c r="X175" s="97" t="s">
        <v>452</v>
      </c>
      <c r="Y175" s="8" t="s">
        <v>25</v>
      </c>
      <c r="Z175" t="s">
        <v>25</v>
      </c>
      <c r="AH175" s="261">
        <v>155</v>
      </c>
      <c r="AI175" s="257" t="s">
        <v>4984</v>
      </c>
      <c r="AJ175" s="257">
        <v>-50000000</v>
      </c>
      <c r="AK175" s="261">
        <v>7</v>
      </c>
      <c r="AL175" s="261">
        <f t="shared" si="65"/>
        <v>450</v>
      </c>
      <c r="AM175" s="257">
        <f t="shared" si="66"/>
        <v>-22500000000</v>
      </c>
      <c r="AN175" s="261" t="s">
        <v>4992</v>
      </c>
    </row>
    <row r="176" spans="7:43">
      <c r="G176" s="32" t="s">
        <v>5512</v>
      </c>
      <c r="H176" s="32">
        <v>3256760</v>
      </c>
      <c r="I176" s="210">
        <v>245992</v>
      </c>
      <c r="J176" s="210">
        <v>2544443</v>
      </c>
      <c r="K176" s="32">
        <v>192693</v>
      </c>
      <c r="L176" s="97">
        <f t="shared" ref="L176:L184" si="70">H176+J176</f>
        <v>5801203</v>
      </c>
      <c r="M176" s="97">
        <f t="shared" ref="M176:M184" si="71">I176+K176</f>
        <v>438685</v>
      </c>
      <c r="P176" s="112"/>
      <c r="Q176" s="97"/>
      <c r="R176" s="93"/>
      <c r="S176" s="113"/>
      <c r="T176" s="166" t="s">
        <v>4572</v>
      </c>
      <c r="U176" s="166">
        <v>79720</v>
      </c>
      <c r="V176" s="111">
        <v>246.6568</v>
      </c>
      <c r="W176" s="111">
        <f t="shared" si="69"/>
        <v>19663480.096000001</v>
      </c>
      <c r="X176" s="97" t="s">
        <v>744</v>
      </c>
      <c r="AH176" s="97">
        <v>156</v>
      </c>
      <c r="AI176" s="111" t="s">
        <v>4990</v>
      </c>
      <c r="AJ176" s="111">
        <v>10000000</v>
      </c>
      <c r="AK176" s="97">
        <v>12</v>
      </c>
      <c r="AL176" s="20">
        <f t="shared" si="65"/>
        <v>443</v>
      </c>
      <c r="AM176" s="115">
        <f t="shared" si="66"/>
        <v>4430000000</v>
      </c>
      <c r="AN176" s="20" t="s">
        <v>4691</v>
      </c>
    </row>
    <row r="177" spans="5:43">
      <c r="G177" s="32" t="s">
        <v>5528</v>
      </c>
      <c r="H177" s="32">
        <v>3245022</v>
      </c>
      <c r="I177" s="210">
        <v>249261</v>
      </c>
      <c r="J177" s="210">
        <v>2532877</v>
      </c>
      <c r="K177" s="32">
        <v>195062</v>
      </c>
      <c r="L177" s="97">
        <f t="shared" si="70"/>
        <v>5777899</v>
      </c>
      <c r="M177" s="97">
        <f t="shared" si="71"/>
        <v>444323</v>
      </c>
      <c r="P177" s="112"/>
      <c r="Q177" s="97" t="s">
        <v>4421</v>
      </c>
      <c r="R177" s="93">
        <f>SUM(R161:R176)</f>
        <v>8506504943</v>
      </c>
      <c r="T177" s="166" t="s">
        <v>4595</v>
      </c>
      <c r="U177" s="166">
        <v>17769</v>
      </c>
      <c r="V177" s="111">
        <v>246.17877999999999</v>
      </c>
      <c r="W177" s="111">
        <f t="shared" si="69"/>
        <v>4374350.7418200001</v>
      </c>
      <c r="X177" s="97" t="s">
        <v>744</v>
      </c>
      <c r="AH177" s="97">
        <v>157</v>
      </c>
      <c r="AI177" s="111" t="s">
        <v>4997</v>
      </c>
      <c r="AJ177" s="111">
        <v>-16266000</v>
      </c>
      <c r="AK177" s="97">
        <v>1</v>
      </c>
      <c r="AL177" s="20">
        <f t="shared" si="65"/>
        <v>431</v>
      </c>
      <c r="AM177" s="115">
        <f t="shared" si="66"/>
        <v>-7010646000</v>
      </c>
      <c r="AN177" s="20" t="s">
        <v>5005</v>
      </c>
      <c r="AQ177" t="s">
        <v>25</v>
      </c>
    </row>
    <row r="178" spans="5:43">
      <c r="G178" s="32" t="s">
        <v>5529</v>
      </c>
      <c r="H178" s="32"/>
      <c r="I178" s="210"/>
      <c r="J178" s="210"/>
      <c r="K178" s="32"/>
      <c r="L178" s="97">
        <f t="shared" si="70"/>
        <v>0</v>
      </c>
      <c r="M178" s="97">
        <f t="shared" si="71"/>
        <v>0</v>
      </c>
      <c r="P178" s="112"/>
      <c r="Q178" s="94"/>
      <c r="T178" s="166" t="s">
        <v>4595</v>
      </c>
      <c r="U178" s="166">
        <v>17769</v>
      </c>
      <c r="V178" s="111">
        <v>246.17877999999999</v>
      </c>
      <c r="W178" s="111">
        <f t="shared" si="69"/>
        <v>4374350.7418200001</v>
      </c>
      <c r="X178" s="97" t="s">
        <v>452</v>
      </c>
      <c r="AH178" s="97">
        <v>158</v>
      </c>
      <c r="AI178" s="111" t="s">
        <v>5006</v>
      </c>
      <c r="AJ178" s="111">
        <v>1000000</v>
      </c>
      <c r="AK178" s="97">
        <v>6</v>
      </c>
      <c r="AL178" s="20">
        <f>AL179+AK178</f>
        <v>430</v>
      </c>
      <c r="AM178" s="115">
        <f>AJ178*AL178</f>
        <v>430000000</v>
      </c>
      <c r="AN178" s="20"/>
    </row>
    <row r="179" spans="5:43">
      <c r="G179" s="32" t="s">
        <v>5530</v>
      </c>
      <c r="H179" s="32"/>
      <c r="I179" s="210"/>
      <c r="J179" s="210"/>
      <c r="K179" s="32"/>
      <c r="L179" s="97">
        <f t="shared" si="70"/>
        <v>0</v>
      </c>
      <c r="M179" s="97">
        <f t="shared" si="71"/>
        <v>0</v>
      </c>
      <c r="O179" s="94"/>
      <c r="P179" s="112"/>
      <c r="T179" s="166" t="s">
        <v>4597</v>
      </c>
      <c r="U179" s="166">
        <v>12438</v>
      </c>
      <c r="V179" s="111">
        <v>241.20465999999999</v>
      </c>
      <c r="W179" s="111">
        <f t="shared" si="69"/>
        <v>3000103.5610799999</v>
      </c>
      <c r="X179" s="97" t="s">
        <v>4411</v>
      </c>
      <c r="AH179" s="97">
        <v>159</v>
      </c>
      <c r="AI179" s="111" t="s">
        <v>5014</v>
      </c>
      <c r="AJ179" s="111">
        <v>40000</v>
      </c>
      <c r="AK179" s="97">
        <v>5</v>
      </c>
      <c r="AL179" s="20">
        <f>AL180+AK179</f>
        <v>424</v>
      </c>
      <c r="AM179" s="115">
        <f>AJ179*AL179</f>
        <v>16960000</v>
      </c>
      <c r="AN179" s="20"/>
    </row>
    <row r="180" spans="5:43">
      <c r="G180" s="32" t="s">
        <v>5554</v>
      </c>
      <c r="H180" s="32">
        <v>3270584</v>
      </c>
      <c r="I180" s="210">
        <v>250916</v>
      </c>
      <c r="J180" s="210">
        <v>2496979</v>
      </c>
      <c r="K180" s="32">
        <v>203160</v>
      </c>
      <c r="L180" s="97">
        <f t="shared" si="70"/>
        <v>5767563</v>
      </c>
      <c r="M180" s="97">
        <f t="shared" si="71"/>
        <v>454076</v>
      </c>
      <c r="O180" t="s">
        <v>25</v>
      </c>
      <c r="P180" s="112"/>
      <c r="Q180" s="210" t="s">
        <v>8</v>
      </c>
      <c r="R180" s="210" t="s">
        <v>4411</v>
      </c>
      <c r="S180" s="210"/>
      <c r="T180" s="166" t="s">
        <v>4606</v>
      </c>
      <c r="U180" s="166">
        <v>27363</v>
      </c>
      <c r="V180" s="111">
        <v>239.3886</v>
      </c>
      <c r="W180" s="111">
        <f t="shared" si="69"/>
        <v>6550390.2617999995</v>
      </c>
      <c r="X180" s="97" t="s">
        <v>744</v>
      </c>
      <c r="AB180" t="s">
        <v>25</v>
      </c>
      <c r="AH180" s="97">
        <v>160</v>
      </c>
      <c r="AI180" s="111" t="s">
        <v>5023</v>
      </c>
      <c r="AJ180" s="111">
        <v>120000</v>
      </c>
      <c r="AK180" s="97">
        <v>6</v>
      </c>
      <c r="AL180" s="20">
        <f>AL181+AK180</f>
        <v>419</v>
      </c>
      <c r="AM180" s="115">
        <f>AJ180*AL180</f>
        <v>50280000</v>
      </c>
      <c r="AN180" s="20"/>
    </row>
    <row r="181" spans="5:43">
      <c r="G181" s="32" t="s">
        <v>5555</v>
      </c>
      <c r="H181" s="32">
        <v>3225584</v>
      </c>
      <c r="I181" s="210">
        <v>260042</v>
      </c>
      <c r="J181" s="210">
        <v>2466124</v>
      </c>
      <c r="K181" s="32">
        <v>210439</v>
      </c>
      <c r="L181" s="97">
        <f t="shared" si="70"/>
        <v>5691708</v>
      </c>
      <c r="M181" s="97">
        <f t="shared" si="71"/>
        <v>470481</v>
      </c>
      <c r="P181" s="112"/>
      <c r="Q181" s="210"/>
      <c r="R181" s="71" t="s">
        <v>180</v>
      </c>
      <c r="S181" s="210" t="s">
        <v>267</v>
      </c>
      <c r="T181" s="166" t="s">
        <v>4606</v>
      </c>
      <c r="U181" s="166">
        <v>27363</v>
      </c>
      <c r="V181" s="111">
        <v>239.3886</v>
      </c>
      <c r="W181" s="111">
        <f t="shared" si="69"/>
        <v>6550390.2617999995</v>
      </c>
      <c r="X181" s="97" t="s">
        <v>452</v>
      </c>
      <c r="AH181" s="97">
        <v>161</v>
      </c>
      <c r="AI181" s="111" t="s">
        <v>5019</v>
      </c>
      <c r="AJ181" s="111">
        <v>249000</v>
      </c>
      <c r="AK181" s="97">
        <v>9</v>
      </c>
      <c r="AL181" s="20">
        <f>AL182+AK181</f>
        <v>413</v>
      </c>
      <c r="AM181" s="115">
        <f>AJ181*AL181</f>
        <v>102837000</v>
      </c>
      <c r="AN181" s="20"/>
    </row>
    <row r="182" spans="5:43">
      <c r="E182" t="s">
        <v>25</v>
      </c>
      <c r="G182" s="32" t="s">
        <v>5556</v>
      </c>
      <c r="H182" s="32">
        <v>3271778</v>
      </c>
      <c r="I182" s="210">
        <v>282233</v>
      </c>
      <c r="J182" s="210">
        <v>2458563</v>
      </c>
      <c r="K182" s="32">
        <v>212082</v>
      </c>
      <c r="L182" s="97">
        <f t="shared" si="70"/>
        <v>5730341</v>
      </c>
      <c r="M182" s="97">
        <f t="shared" si="71"/>
        <v>494315</v>
      </c>
      <c r="O182" t="s">
        <v>25</v>
      </c>
      <c r="P182" s="112"/>
      <c r="Q182" s="210"/>
      <c r="R182" s="210" t="s">
        <v>4404</v>
      </c>
      <c r="S182" s="111">
        <v>3000000</v>
      </c>
      <c r="T182" s="207" t="s">
        <v>4608</v>
      </c>
      <c r="U182" s="207">
        <v>27437</v>
      </c>
      <c r="V182" s="111">
        <v>242.4015</v>
      </c>
      <c r="W182" s="111">
        <f t="shared" si="69"/>
        <v>6650769.9555000002</v>
      </c>
      <c r="X182" s="97" t="s">
        <v>744</v>
      </c>
      <c r="AH182" s="97">
        <v>162</v>
      </c>
      <c r="AI182" s="111" t="s">
        <v>5045</v>
      </c>
      <c r="AJ182" s="111">
        <v>65000</v>
      </c>
      <c r="AK182" s="97">
        <v>7</v>
      </c>
      <c r="AL182" s="20">
        <f>AL183+AK182</f>
        <v>404</v>
      </c>
      <c r="AM182" s="115">
        <f>AJ182*AL182</f>
        <v>26260000</v>
      </c>
      <c r="AN182" s="20"/>
    </row>
    <row r="183" spans="5:43">
      <c r="G183" s="32" t="s">
        <v>5563</v>
      </c>
      <c r="H183" s="32">
        <v>3298939</v>
      </c>
      <c r="I183" s="210">
        <v>281309</v>
      </c>
      <c r="J183" s="210">
        <v>2465538</v>
      </c>
      <c r="K183" s="32">
        <v>210242</v>
      </c>
      <c r="L183" s="97">
        <f t="shared" si="70"/>
        <v>5764477</v>
      </c>
      <c r="M183" s="97">
        <f t="shared" si="71"/>
        <v>491551</v>
      </c>
      <c r="P183" s="112"/>
      <c r="Q183" s="210"/>
      <c r="R183" s="210" t="s">
        <v>4451</v>
      </c>
      <c r="S183" s="111">
        <v>2000000</v>
      </c>
      <c r="T183" s="207" t="s">
        <v>4608</v>
      </c>
      <c r="U183" s="207">
        <v>29104</v>
      </c>
      <c r="V183" s="111">
        <v>242.4015</v>
      </c>
      <c r="W183" s="111">
        <f t="shared" si="69"/>
        <v>7054853.2560000001</v>
      </c>
      <c r="X183" s="97" t="s">
        <v>452</v>
      </c>
      <c r="AH183" s="97">
        <v>163</v>
      </c>
      <c r="AI183" s="111" t="s">
        <v>5055</v>
      </c>
      <c r="AJ183" s="111">
        <v>-312598</v>
      </c>
      <c r="AK183" s="97">
        <v>0</v>
      </c>
      <c r="AL183" s="20">
        <f t="shared" ref="AL183:AL190" si="72">AL184+AK183</f>
        <v>397</v>
      </c>
      <c r="AM183" s="115">
        <f t="shared" ref="AM183:AM190" si="73">AJ183*AL183</f>
        <v>-124101406</v>
      </c>
      <c r="AN183" s="20"/>
      <c r="AO183" t="s">
        <v>25</v>
      </c>
      <c r="AQ183" t="s">
        <v>25</v>
      </c>
    </row>
    <row r="184" spans="5:43">
      <c r="G184" s="32" t="s">
        <v>5567</v>
      </c>
      <c r="H184" s="32">
        <v>3453903</v>
      </c>
      <c r="I184" s="210">
        <v>259725</v>
      </c>
      <c r="J184" s="210">
        <v>2541096</v>
      </c>
      <c r="K184" s="32">
        <v>191084</v>
      </c>
      <c r="L184" s="97">
        <f t="shared" si="70"/>
        <v>5994999</v>
      </c>
      <c r="M184" s="97">
        <f t="shared" si="71"/>
        <v>450809</v>
      </c>
      <c r="P184" s="112"/>
      <c r="Q184" s="210"/>
      <c r="R184" s="210" t="s">
        <v>4459</v>
      </c>
      <c r="S184" s="111">
        <v>1000000</v>
      </c>
      <c r="T184" s="210" t="s">
        <v>4625</v>
      </c>
      <c r="U184" s="210">
        <v>8991</v>
      </c>
      <c r="V184" s="111">
        <v>238.64867000000001</v>
      </c>
      <c r="W184" s="111">
        <f t="shared" si="69"/>
        <v>2145690.19197</v>
      </c>
      <c r="X184" s="97" t="s">
        <v>744</v>
      </c>
      <c r="AH184" s="97">
        <v>164</v>
      </c>
      <c r="AI184" s="111" t="s">
        <v>5055</v>
      </c>
      <c r="AJ184" s="111">
        <v>50000</v>
      </c>
      <c r="AK184" s="97">
        <v>6</v>
      </c>
      <c r="AL184" s="20">
        <f t="shared" si="72"/>
        <v>397</v>
      </c>
      <c r="AM184" s="115">
        <f t="shared" si="73"/>
        <v>19850000</v>
      </c>
      <c r="AN184" s="20"/>
    </row>
    <row r="185" spans="5:43">
      <c r="G185" s="32"/>
      <c r="H185" s="32"/>
      <c r="I185" s="210"/>
      <c r="J185" s="210"/>
      <c r="K185" s="32"/>
      <c r="L185" s="97"/>
      <c r="M185" s="97"/>
      <c r="P185" s="112"/>
      <c r="Q185" s="210"/>
      <c r="R185" s="210" t="s">
        <v>4464</v>
      </c>
      <c r="S185" s="111">
        <v>2000000</v>
      </c>
      <c r="T185" s="210" t="s">
        <v>4625</v>
      </c>
      <c r="U185" s="210">
        <v>8991</v>
      </c>
      <c r="V185" s="111">
        <v>238.64867000000001</v>
      </c>
      <c r="W185" s="111">
        <f t="shared" si="69"/>
        <v>2145690.19197</v>
      </c>
      <c r="X185" s="97" t="s">
        <v>452</v>
      </c>
      <c r="AH185" s="97">
        <v>165</v>
      </c>
      <c r="AI185" s="111" t="s">
        <v>5065</v>
      </c>
      <c r="AJ185" s="111">
        <v>-200000</v>
      </c>
      <c r="AK185" s="97">
        <v>0</v>
      </c>
      <c r="AL185" s="20">
        <f t="shared" si="72"/>
        <v>391</v>
      </c>
      <c r="AM185" s="115">
        <f t="shared" si="73"/>
        <v>-78200000</v>
      </c>
      <c r="AN185" s="20" t="s">
        <v>5066</v>
      </c>
    </row>
    <row r="186" spans="5:43">
      <c r="G186" s="32"/>
      <c r="H186" s="32"/>
      <c r="I186" s="210"/>
      <c r="J186" s="210"/>
      <c r="K186" s="32"/>
      <c r="L186" s="97"/>
      <c r="M186" s="97"/>
      <c r="Q186" s="210"/>
      <c r="R186" s="210" t="s">
        <v>979</v>
      </c>
      <c r="S186" s="111">
        <v>3000000</v>
      </c>
      <c r="T186" s="210" t="s">
        <v>4636</v>
      </c>
      <c r="U186" s="210">
        <v>18170</v>
      </c>
      <c r="V186" s="111">
        <v>240.48475999999999</v>
      </c>
      <c r="W186" s="111">
        <f t="shared" si="69"/>
        <v>4369608.0892000003</v>
      </c>
      <c r="X186" s="97" t="s">
        <v>744</v>
      </c>
      <c r="AH186" s="97">
        <v>166</v>
      </c>
      <c r="AI186" s="111" t="s">
        <v>5065</v>
      </c>
      <c r="AJ186" s="111">
        <v>200000</v>
      </c>
      <c r="AK186" s="97">
        <v>3</v>
      </c>
      <c r="AL186" s="20">
        <f t="shared" si="72"/>
        <v>391</v>
      </c>
      <c r="AM186" s="115">
        <f t="shared" si="73"/>
        <v>78200000</v>
      </c>
      <c r="AN186" s="20"/>
      <c r="AQ186" t="s">
        <v>25</v>
      </c>
    </row>
    <row r="187" spans="5:43">
      <c r="G187" s="32"/>
      <c r="H187" s="32"/>
      <c r="I187" s="210"/>
      <c r="J187" s="210"/>
      <c r="K187" s="32"/>
      <c r="L187" s="97">
        <f>H187+J187</f>
        <v>0</v>
      </c>
      <c r="M187" s="97">
        <f>I187+K187</f>
        <v>0</v>
      </c>
      <c r="Q187" s="210"/>
      <c r="R187" s="210" t="s">
        <v>4597</v>
      </c>
      <c r="S187" s="111">
        <v>3000000</v>
      </c>
      <c r="T187" s="210" t="s">
        <v>4636</v>
      </c>
      <c r="U187" s="210">
        <v>18170</v>
      </c>
      <c r="V187" s="111">
        <v>240.48475999999999</v>
      </c>
      <c r="W187" s="111">
        <f t="shared" si="69"/>
        <v>4369608.0892000003</v>
      </c>
      <c r="X187" s="97" t="s">
        <v>452</v>
      </c>
      <c r="AH187" s="97">
        <v>167</v>
      </c>
      <c r="AI187" s="111" t="s">
        <v>5072</v>
      </c>
      <c r="AJ187" s="111">
        <v>200000</v>
      </c>
      <c r="AK187" s="97">
        <v>3</v>
      </c>
      <c r="AL187" s="20">
        <f t="shared" si="72"/>
        <v>388</v>
      </c>
      <c r="AM187" s="115">
        <f t="shared" si="73"/>
        <v>77600000</v>
      </c>
      <c r="AN187" s="20"/>
    </row>
    <row r="188" spans="5:43">
      <c r="Q188" s="210" t="s">
        <v>4769</v>
      </c>
      <c r="R188" s="210" t="s">
        <v>4764</v>
      </c>
      <c r="S188" s="111">
        <v>-800000</v>
      </c>
      <c r="T188" s="210" t="s">
        <v>4638</v>
      </c>
      <c r="U188" s="210">
        <v>36797</v>
      </c>
      <c r="V188" s="111">
        <v>239.0822</v>
      </c>
      <c r="W188" s="111">
        <f t="shared" si="69"/>
        <v>8797507.7134000007</v>
      </c>
      <c r="X188" s="97" t="s">
        <v>744</v>
      </c>
      <c r="AH188" s="97">
        <v>168</v>
      </c>
      <c r="AI188" s="111" t="s">
        <v>5075</v>
      </c>
      <c r="AJ188" s="111">
        <v>30000</v>
      </c>
      <c r="AK188" s="97">
        <v>7</v>
      </c>
      <c r="AL188" s="20">
        <f t="shared" si="72"/>
        <v>385</v>
      </c>
      <c r="AM188" s="115">
        <f t="shared" si="73"/>
        <v>11550000</v>
      </c>
      <c r="AN188" s="20"/>
    </row>
    <row r="189" spans="5:43">
      <c r="Q189" s="210" t="s">
        <v>4770</v>
      </c>
      <c r="R189" s="210" t="s">
        <v>4764</v>
      </c>
      <c r="S189" s="111">
        <v>-900000</v>
      </c>
      <c r="T189" s="210" t="s">
        <v>4638</v>
      </c>
      <c r="U189" s="210">
        <v>36797</v>
      </c>
      <c r="V189" s="111">
        <v>239.0822</v>
      </c>
      <c r="W189" s="111">
        <f t="shared" si="69"/>
        <v>8797507.7134000007</v>
      </c>
      <c r="X189" s="97" t="s">
        <v>452</v>
      </c>
      <c r="Z189" t="s">
        <v>25</v>
      </c>
      <c r="AH189" s="97">
        <v>169</v>
      </c>
      <c r="AI189" s="111" t="s">
        <v>5033</v>
      </c>
      <c r="AJ189" s="111">
        <v>-10000000</v>
      </c>
      <c r="AK189" s="97">
        <v>0</v>
      </c>
      <c r="AL189" s="20">
        <f t="shared" si="72"/>
        <v>378</v>
      </c>
      <c r="AM189" s="115">
        <f t="shared" si="73"/>
        <v>-3780000000</v>
      </c>
      <c r="AN189" s="20" t="s">
        <v>4992</v>
      </c>
    </row>
    <row r="190" spans="5:43">
      <c r="G190" s="97" t="s">
        <v>5514</v>
      </c>
      <c r="H190" s="97"/>
      <c r="I190" s="97"/>
      <c r="K190" t="s">
        <v>25</v>
      </c>
      <c r="M190" t="s">
        <v>25</v>
      </c>
      <c r="Q190" s="210" t="s">
        <v>4770</v>
      </c>
      <c r="R190" s="210" t="s">
        <v>966</v>
      </c>
      <c r="S190" s="111">
        <v>-1100000</v>
      </c>
      <c r="T190" s="210" t="s">
        <v>4647</v>
      </c>
      <c r="U190" s="210">
        <v>28066</v>
      </c>
      <c r="V190" s="111">
        <v>237.56970000000001</v>
      </c>
      <c r="W190" s="111">
        <f t="shared" si="69"/>
        <v>6667631.2002000008</v>
      </c>
      <c r="X190" s="97" t="s">
        <v>744</v>
      </c>
      <c r="AH190" s="97">
        <v>170</v>
      </c>
      <c r="AI190" s="111" t="s">
        <v>5033</v>
      </c>
      <c r="AJ190" s="111">
        <v>6000000</v>
      </c>
      <c r="AK190" s="97">
        <v>8</v>
      </c>
      <c r="AL190" s="20">
        <f t="shared" si="72"/>
        <v>378</v>
      </c>
      <c r="AM190" s="115">
        <f t="shared" si="73"/>
        <v>2268000000</v>
      </c>
      <c r="AN190" s="20"/>
      <c r="AP190" t="s">
        <v>25</v>
      </c>
    </row>
    <row r="191" spans="5:43">
      <c r="G191" s="97" t="s">
        <v>452</v>
      </c>
      <c r="H191" s="97">
        <v>199</v>
      </c>
      <c r="I191" s="97" t="s">
        <v>5515</v>
      </c>
      <c r="Q191" s="188" t="s">
        <v>1071</v>
      </c>
      <c r="R191" s="188" t="s">
        <v>4793</v>
      </c>
      <c r="S191" s="194">
        <v>30000000</v>
      </c>
      <c r="T191" s="210" t="s">
        <v>4647</v>
      </c>
      <c r="U191" s="210">
        <v>28066</v>
      </c>
      <c r="V191" s="111">
        <v>237.56970000000001</v>
      </c>
      <c r="W191" s="111">
        <f t="shared" si="69"/>
        <v>6667631.2002000008</v>
      </c>
      <c r="X191" s="97" t="s">
        <v>452</v>
      </c>
      <c r="Y191" t="s">
        <v>25</v>
      </c>
      <c r="AH191" s="97">
        <v>171</v>
      </c>
      <c r="AI191" s="111" t="s">
        <v>5102</v>
      </c>
      <c r="AJ191" s="111">
        <v>150000</v>
      </c>
      <c r="AK191" s="97">
        <v>7</v>
      </c>
      <c r="AL191" s="20">
        <f>AL192+AK191</f>
        <v>370</v>
      </c>
      <c r="AM191" s="115">
        <f>AJ191*AL191</f>
        <v>55500000</v>
      </c>
      <c r="AN191" s="20"/>
    </row>
    <row r="192" spans="5:43">
      <c r="G192" s="97" t="s">
        <v>744</v>
      </c>
      <c r="H192" s="97">
        <v>200</v>
      </c>
      <c r="I192" s="97" t="s">
        <v>5516</v>
      </c>
      <c r="M192" t="s">
        <v>25</v>
      </c>
      <c r="Q192" s="19" t="s">
        <v>4874</v>
      </c>
      <c r="R192" s="19" t="s">
        <v>4872</v>
      </c>
      <c r="S192" s="115">
        <v>2000000</v>
      </c>
      <c r="T192" s="210" t="s">
        <v>3668</v>
      </c>
      <c r="U192" s="210">
        <v>37457</v>
      </c>
      <c r="V192" s="111">
        <v>239.77</v>
      </c>
      <c r="W192" s="111">
        <f t="shared" si="69"/>
        <v>8981064.8900000006</v>
      </c>
      <c r="X192" s="97" t="s">
        <v>744</v>
      </c>
      <c r="AH192" s="97">
        <v>172</v>
      </c>
      <c r="AI192" s="111" t="s">
        <v>5138</v>
      </c>
      <c r="AJ192" s="111">
        <v>400000</v>
      </c>
      <c r="AK192" s="97">
        <v>1</v>
      </c>
      <c r="AL192" s="20">
        <f>AL193+AK192</f>
        <v>363</v>
      </c>
      <c r="AM192" s="115">
        <f>AJ192*AL192</f>
        <v>145200000</v>
      </c>
      <c r="AN192" s="20"/>
    </row>
    <row r="193" spans="7:45">
      <c r="G193" s="97" t="s">
        <v>5487</v>
      </c>
      <c r="H193" s="97">
        <v>200</v>
      </c>
      <c r="I193" s="97" t="s">
        <v>5560</v>
      </c>
      <c r="P193" s="112"/>
      <c r="Q193" s="187" t="s">
        <v>4896</v>
      </c>
      <c r="R193" s="187" t="s">
        <v>4895</v>
      </c>
      <c r="S193" s="186">
        <v>480105</v>
      </c>
      <c r="T193" s="210" t="s">
        <v>3668</v>
      </c>
      <c r="U193" s="210">
        <v>37457</v>
      </c>
      <c r="V193" s="111">
        <v>239.77</v>
      </c>
      <c r="W193" s="111">
        <f t="shared" si="69"/>
        <v>8981064.8900000006</v>
      </c>
      <c r="X193" s="97" t="s">
        <v>452</v>
      </c>
      <c r="Y193" s="94" t="s">
        <v>25</v>
      </c>
      <c r="AH193" s="97">
        <v>173</v>
      </c>
      <c r="AI193" s="111" t="s">
        <v>5142</v>
      </c>
      <c r="AJ193" s="111">
        <v>-100000</v>
      </c>
      <c r="AK193" s="97">
        <v>1</v>
      </c>
      <c r="AL193" s="20">
        <f>AL194+AK193</f>
        <v>362</v>
      </c>
      <c r="AM193" s="115">
        <f>AJ193*AL193</f>
        <v>-36200000</v>
      </c>
      <c r="AN193" s="20"/>
    </row>
    <row r="194" spans="7:45">
      <c r="G194" s="97" t="s">
        <v>1071</v>
      </c>
      <c r="H194" s="97">
        <v>200</v>
      </c>
      <c r="I194" s="97" t="s">
        <v>5517</v>
      </c>
      <c r="P194" s="112"/>
      <c r="Q194" s="187"/>
      <c r="R194" s="187" t="s">
        <v>4936</v>
      </c>
      <c r="S194" s="186">
        <v>30500000</v>
      </c>
      <c r="T194" s="210" t="s">
        <v>4659</v>
      </c>
      <c r="U194" s="210">
        <v>38412</v>
      </c>
      <c r="V194" s="111">
        <v>239.03</v>
      </c>
      <c r="W194" s="111">
        <f t="shared" si="69"/>
        <v>9181620.3599999994</v>
      </c>
      <c r="X194" s="97" t="s">
        <v>744</v>
      </c>
      <c r="Y194" t="s">
        <v>25</v>
      </c>
      <c r="AH194" s="97">
        <v>174</v>
      </c>
      <c r="AI194" s="111" t="s">
        <v>5146</v>
      </c>
      <c r="AJ194" s="111">
        <v>10000000</v>
      </c>
      <c r="AK194" s="97">
        <v>1</v>
      </c>
      <c r="AL194" s="20">
        <f>AL195+AK194</f>
        <v>361</v>
      </c>
      <c r="AM194" s="115">
        <f>AJ194*AL194</f>
        <v>3610000000</v>
      </c>
      <c r="AN194" s="20" t="s">
        <v>4691</v>
      </c>
      <c r="AS194" t="s">
        <v>25</v>
      </c>
    </row>
    <row r="195" spans="7:45">
      <c r="G195" s="97"/>
      <c r="H195" s="97"/>
      <c r="I195" s="97"/>
      <c r="P195" s="112"/>
      <c r="Q195" s="19" t="s">
        <v>4967</v>
      </c>
      <c r="R195" s="19" t="s">
        <v>4962</v>
      </c>
      <c r="S195" s="115">
        <v>-400000</v>
      </c>
      <c r="T195" s="210" t="s">
        <v>4659</v>
      </c>
      <c r="U195" s="210">
        <v>38412</v>
      </c>
      <c r="V195" s="111">
        <v>239.03</v>
      </c>
      <c r="W195" s="111">
        <f t="shared" si="69"/>
        <v>9181620.3599999994</v>
      </c>
      <c r="X195" s="97" t="s">
        <v>452</v>
      </c>
      <c r="AH195" s="97">
        <v>175</v>
      </c>
      <c r="AI195" s="111" t="s">
        <v>5151</v>
      </c>
      <c r="AJ195" s="111">
        <v>-400000</v>
      </c>
      <c r="AK195" s="97">
        <v>6</v>
      </c>
      <c r="AL195" s="20">
        <f t="shared" ref="AL195:AL203" si="74">AL196+AK195</f>
        <v>360</v>
      </c>
      <c r="AM195" s="115">
        <f t="shared" ref="AM195:AM203" si="75">AJ195*AL195</f>
        <v>-144000000</v>
      </c>
      <c r="AN195" s="20"/>
    </row>
    <row r="196" spans="7:45">
      <c r="G196" s="97"/>
      <c r="H196" s="97"/>
      <c r="I196" s="97"/>
      <c r="P196" s="112"/>
      <c r="Q196" s="187" t="s">
        <v>5078</v>
      </c>
      <c r="R196" s="187" t="s">
        <v>4997</v>
      </c>
      <c r="S196" s="186">
        <v>-349550</v>
      </c>
      <c r="T196" s="210" t="s">
        <v>4662</v>
      </c>
      <c r="U196" s="210">
        <v>49555</v>
      </c>
      <c r="V196" s="111">
        <v>238.345</v>
      </c>
      <c r="W196" s="111">
        <f t="shared" si="69"/>
        <v>11811186.475</v>
      </c>
      <c r="X196" s="97" t="s">
        <v>744</v>
      </c>
      <c r="AH196" s="97">
        <v>176</v>
      </c>
      <c r="AI196" s="111" t="s">
        <v>5158</v>
      </c>
      <c r="AJ196" s="111">
        <v>1300000</v>
      </c>
      <c r="AK196" s="97">
        <v>0</v>
      </c>
      <c r="AL196" s="20">
        <f t="shared" si="74"/>
        <v>354</v>
      </c>
      <c r="AM196" s="115">
        <f t="shared" si="75"/>
        <v>460200000</v>
      </c>
      <c r="AN196" s="20"/>
      <c r="AR196" t="s">
        <v>25</v>
      </c>
    </row>
    <row r="197" spans="7:45">
      <c r="G197" s="97"/>
      <c r="H197" s="97"/>
      <c r="I197" s="97"/>
      <c r="K197" t="s">
        <v>25</v>
      </c>
      <c r="M197" t="s">
        <v>25</v>
      </c>
      <c r="P197" s="112"/>
      <c r="Q197" s="187" t="s">
        <v>5108</v>
      </c>
      <c r="R197" s="187" t="s">
        <v>5105</v>
      </c>
      <c r="S197" s="186">
        <v>11500000</v>
      </c>
      <c r="T197" s="210" t="s">
        <v>4662</v>
      </c>
      <c r="U197" s="210">
        <v>49555</v>
      </c>
      <c r="V197" s="111">
        <v>238.345</v>
      </c>
      <c r="W197" s="111">
        <f t="shared" si="69"/>
        <v>11811186.475</v>
      </c>
      <c r="X197" s="97" t="s">
        <v>452</v>
      </c>
      <c r="AA197" t="s">
        <v>25</v>
      </c>
      <c r="AH197" s="97">
        <v>177</v>
      </c>
      <c r="AI197" s="111" t="s">
        <v>5158</v>
      </c>
      <c r="AJ197" s="111">
        <v>230000</v>
      </c>
      <c r="AK197" s="97">
        <v>1</v>
      </c>
      <c r="AL197" s="20">
        <f t="shared" si="74"/>
        <v>354</v>
      </c>
      <c r="AM197" s="115">
        <f t="shared" si="75"/>
        <v>81420000</v>
      </c>
      <c r="AN197" s="20"/>
    </row>
    <row r="198" spans="7:45">
      <c r="G198" s="97"/>
      <c r="H198" s="97"/>
      <c r="I198" s="97"/>
      <c r="P198" s="112"/>
      <c r="Q198" s="187" t="s">
        <v>5137</v>
      </c>
      <c r="R198" s="187" t="s">
        <v>5136</v>
      </c>
      <c r="S198" s="186">
        <v>6000000</v>
      </c>
      <c r="T198" s="210" t="s">
        <v>4676</v>
      </c>
      <c r="U198" s="210">
        <v>160187</v>
      </c>
      <c r="V198" s="111">
        <v>257.49799999999999</v>
      </c>
      <c r="W198" s="111">
        <f t="shared" si="69"/>
        <v>41247832.126000002</v>
      </c>
      <c r="X198" s="97" t="s">
        <v>744</v>
      </c>
      <c r="Y198" t="s">
        <v>25</v>
      </c>
      <c r="AH198" s="97">
        <v>178</v>
      </c>
      <c r="AI198" s="111" t="s">
        <v>5161</v>
      </c>
      <c r="AJ198" s="111">
        <v>880000</v>
      </c>
      <c r="AK198" s="97">
        <v>4</v>
      </c>
      <c r="AL198" s="20">
        <f t="shared" si="74"/>
        <v>353</v>
      </c>
      <c r="AM198" s="115">
        <f t="shared" si="75"/>
        <v>310640000</v>
      </c>
      <c r="AN198" s="20"/>
    </row>
    <row r="199" spans="7:45">
      <c r="P199" s="112"/>
      <c r="Q199" s="187" t="s">
        <v>5139</v>
      </c>
      <c r="R199" s="187" t="s">
        <v>5138</v>
      </c>
      <c r="S199" s="186">
        <v>1500000</v>
      </c>
      <c r="T199" s="210" t="s">
        <v>4676</v>
      </c>
      <c r="U199" s="210">
        <v>160187</v>
      </c>
      <c r="V199" s="111">
        <v>257.49799999999999</v>
      </c>
      <c r="W199" s="111">
        <f t="shared" si="69"/>
        <v>41247832.126000002</v>
      </c>
      <c r="X199" s="97" t="s">
        <v>452</v>
      </c>
      <c r="AH199" s="97">
        <v>179</v>
      </c>
      <c r="AI199" s="111" t="s">
        <v>5165</v>
      </c>
      <c r="AJ199" s="111">
        <v>-900000</v>
      </c>
      <c r="AK199" s="97">
        <v>1</v>
      </c>
      <c r="AL199" s="20">
        <f t="shared" si="74"/>
        <v>349</v>
      </c>
      <c r="AM199" s="115">
        <f t="shared" si="75"/>
        <v>-314100000</v>
      </c>
      <c r="AN199" s="20"/>
    </row>
    <row r="200" spans="7:45">
      <c r="G200" s="210" t="s">
        <v>180</v>
      </c>
      <c r="H200" s="210" t="s">
        <v>5540</v>
      </c>
      <c r="I200" t="s">
        <v>5533</v>
      </c>
      <c r="O200" t="s">
        <v>25</v>
      </c>
      <c r="P200" s="112"/>
      <c r="Q200" s="19" t="s">
        <v>4967</v>
      </c>
      <c r="R200" s="19" t="s">
        <v>5146</v>
      </c>
      <c r="S200" s="115">
        <v>-200000</v>
      </c>
      <c r="T200" s="210" t="s">
        <v>4683</v>
      </c>
      <c r="U200" s="210">
        <v>144401</v>
      </c>
      <c r="V200" s="111">
        <v>258.5061</v>
      </c>
      <c r="W200" s="111">
        <f t="shared" si="69"/>
        <v>37328539.346100003</v>
      </c>
      <c r="X200" s="97" t="s">
        <v>744</v>
      </c>
      <c r="Z200" t="s">
        <v>25</v>
      </c>
      <c r="AH200" s="97">
        <v>180</v>
      </c>
      <c r="AI200" s="111" t="s">
        <v>977</v>
      </c>
      <c r="AJ200" s="111">
        <v>-3500000</v>
      </c>
      <c r="AK200" s="97">
        <v>1</v>
      </c>
      <c r="AL200" s="20">
        <f t="shared" si="74"/>
        <v>348</v>
      </c>
      <c r="AM200" s="115">
        <f t="shared" si="75"/>
        <v>-1218000000</v>
      </c>
      <c r="AN200" s="20"/>
      <c r="AR200" t="s">
        <v>25</v>
      </c>
    </row>
    <row r="201" spans="7:45">
      <c r="G201" s="210" t="s">
        <v>5503</v>
      </c>
      <c r="H201" s="1">
        <v>30000000</v>
      </c>
      <c r="I201" t="s">
        <v>5534</v>
      </c>
      <c r="Q201" s="188" t="s">
        <v>5166</v>
      </c>
      <c r="R201" s="188" t="s">
        <v>5165</v>
      </c>
      <c r="S201" s="194">
        <v>1000000</v>
      </c>
      <c r="T201" s="210" t="s">
        <v>4683</v>
      </c>
      <c r="U201" s="210">
        <v>144401</v>
      </c>
      <c r="V201" s="111">
        <v>258.5061</v>
      </c>
      <c r="W201" s="111">
        <f t="shared" si="69"/>
        <v>37328539.346100003</v>
      </c>
      <c r="X201" s="97" t="s">
        <v>452</v>
      </c>
      <c r="AH201" s="97">
        <v>181</v>
      </c>
      <c r="AI201" s="111" t="s">
        <v>4258</v>
      </c>
      <c r="AJ201" s="111">
        <v>-1600000</v>
      </c>
      <c r="AK201" s="97">
        <v>1</v>
      </c>
      <c r="AL201" s="20">
        <f t="shared" si="74"/>
        <v>347</v>
      </c>
      <c r="AM201" s="115">
        <f t="shared" si="75"/>
        <v>-555200000</v>
      </c>
      <c r="AN201" s="20"/>
      <c r="AQ201" t="s">
        <v>25</v>
      </c>
    </row>
    <row r="202" spans="7:45">
      <c r="G202" s="210" t="s">
        <v>5504</v>
      </c>
      <c r="H202" s="1">
        <v>550000</v>
      </c>
      <c r="I202" t="s">
        <v>5535</v>
      </c>
      <c r="P202" s="112"/>
      <c r="Q202" s="19" t="s">
        <v>4967</v>
      </c>
      <c r="R202" s="19" t="s">
        <v>5179</v>
      </c>
      <c r="S202" s="115">
        <v>-122000</v>
      </c>
      <c r="T202" s="166" t="s">
        <v>4689</v>
      </c>
      <c r="U202" s="166">
        <v>196500</v>
      </c>
      <c r="V202" s="111">
        <v>254.452</v>
      </c>
      <c r="W202" s="111">
        <f t="shared" si="69"/>
        <v>49999818</v>
      </c>
      <c r="X202" s="97" t="s">
        <v>4693</v>
      </c>
      <c r="Y202" t="s">
        <v>25</v>
      </c>
      <c r="AA202" t="s">
        <v>25</v>
      </c>
      <c r="AH202" s="97">
        <v>182</v>
      </c>
      <c r="AI202" s="111" t="s">
        <v>5171</v>
      </c>
      <c r="AJ202" s="111">
        <v>-800000</v>
      </c>
      <c r="AK202" s="97">
        <v>7</v>
      </c>
      <c r="AL202" s="20">
        <f t="shared" si="74"/>
        <v>346</v>
      </c>
      <c r="AM202" s="115">
        <f t="shared" si="75"/>
        <v>-276800000</v>
      </c>
      <c r="AN202" s="20"/>
    </row>
    <row r="203" spans="7:45">
      <c r="G203" s="210" t="s">
        <v>5505</v>
      </c>
      <c r="H203" s="1">
        <v>70370000</v>
      </c>
      <c r="I203" t="s">
        <v>4085</v>
      </c>
      <c r="P203" s="112"/>
      <c r="Q203" s="19" t="s">
        <v>4967</v>
      </c>
      <c r="R203" s="19" t="s">
        <v>5187</v>
      </c>
      <c r="S203" s="115">
        <v>-700000</v>
      </c>
      <c r="T203" s="210" t="s">
        <v>4689</v>
      </c>
      <c r="U203" s="210">
        <v>2561</v>
      </c>
      <c r="V203" s="111">
        <v>254.536</v>
      </c>
      <c r="W203" s="111">
        <f t="shared" si="69"/>
        <v>651866.696</v>
      </c>
      <c r="X203" s="97" t="s">
        <v>4694</v>
      </c>
      <c r="AH203" s="97">
        <v>183</v>
      </c>
      <c r="AI203" s="111" t="s">
        <v>5179</v>
      </c>
      <c r="AJ203" s="111">
        <v>50000</v>
      </c>
      <c r="AK203" s="97">
        <v>2</v>
      </c>
      <c r="AL203" s="20">
        <f t="shared" si="74"/>
        <v>339</v>
      </c>
      <c r="AM203" s="115">
        <f t="shared" si="75"/>
        <v>16950000</v>
      </c>
      <c r="AN203" s="20"/>
    </row>
    <row r="204" spans="7:45">
      <c r="G204" s="210" t="s">
        <v>5506</v>
      </c>
      <c r="H204" s="1">
        <v>1215000</v>
      </c>
      <c r="I204" t="s">
        <v>5536</v>
      </c>
      <c r="Q204" s="19" t="s">
        <v>4967</v>
      </c>
      <c r="R204" s="19" t="s">
        <v>5197</v>
      </c>
      <c r="S204" s="115">
        <v>-60000</v>
      </c>
      <c r="T204" s="210" t="s">
        <v>4736</v>
      </c>
      <c r="U204" s="210">
        <v>-11795</v>
      </c>
      <c r="V204" s="111">
        <v>254.334</v>
      </c>
      <c r="W204" s="111">
        <f t="shared" si="69"/>
        <v>-2999869.5300000003</v>
      </c>
      <c r="X204" s="97" t="s">
        <v>4737</v>
      </c>
      <c r="AH204" s="97">
        <v>184</v>
      </c>
      <c r="AI204" s="111" t="s">
        <v>5181</v>
      </c>
      <c r="AJ204" s="111">
        <v>400000</v>
      </c>
      <c r="AK204" s="97">
        <v>8</v>
      </c>
      <c r="AL204" s="20">
        <f t="shared" ref="AL204:AL213" si="76">AL205+AK204</f>
        <v>337</v>
      </c>
      <c r="AM204" s="115">
        <f t="shared" ref="AM204:AM213" si="77">AJ204*AL204</f>
        <v>134800000</v>
      </c>
      <c r="AN204" s="20"/>
      <c r="AR204" t="s">
        <v>25</v>
      </c>
    </row>
    <row r="205" spans="7:45">
      <c r="G205" s="210" t="s">
        <v>5507</v>
      </c>
      <c r="H205" s="1">
        <v>15350000</v>
      </c>
      <c r="I205" t="s">
        <v>5537</v>
      </c>
      <c r="P205" s="112"/>
      <c r="Q205" s="19" t="s">
        <v>4411</v>
      </c>
      <c r="R205" s="19" t="s">
        <v>5257</v>
      </c>
      <c r="S205" s="115">
        <v>700000</v>
      </c>
      <c r="T205" s="210" t="s">
        <v>4736</v>
      </c>
      <c r="U205" s="210">
        <v>11795</v>
      </c>
      <c r="V205" s="111">
        <v>254.334</v>
      </c>
      <c r="W205" s="111">
        <f t="shared" si="69"/>
        <v>2999869.5300000003</v>
      </c>
      <c r="X205" s="97" t="s">
        <v>4738</v>
      </c>
      <c r="AH205" s="97">
        <v>185</v>
      </c>
      <c r="AI205" s="111" t="s">
        <v>5156</v>
      </c>
      <c r="AJ205" s="111">
        <v>-10000000</v>
      </c>
      <c r="AK205" s="97">
        <v>0</v>
      </c>
      <c r="AL205" s="20">
        <f t="shared" si="76"/>
        <v>329</v>
      </c>
      <c r="AM205" s="115">
        <f t="shared" si="77"/>
        <v>-3290000000</v>
      </c>
      <c r="AN205" s="20" t="s">
        <v>4992</v>
      </c>
    </row>
    <row r="206" spans="7:45">
      <c r="G206" s="210" t="s">
        <v>5508</v>
      </c>
      <c r="H206" s="1">
        <v>70000</v>
      </c>
      <c r="I206" t="s">
        <v>5538</v>
      </c>
      <c r="P206" s="112"/>
      <c r="Q206" s="187" t="s">
        <v>5730</v>
      </c>
      <c r="R206" s="187" t="s">
        <v>5266</v>
      </c>
      <c r="S206" s="186">
        <v>-4000000</v>
      </c>
      <c r="T206" s="210" t="s">
        <v>4750</v>
      </c>
      <c r="U206" s="210">
        <v>260</v>
      </c>
      <c r="V206" s="111">
        <v>263.19</v>
      </c>
      <c r="W206" s="111">
        <f t="shared" si="69"/>
        <v>68429.399999999994</v>
      </c>
      <c r="X206" s="97" t="s">
        <v>452</v>
      </c>
      <c r="AH206" s="97">
        <v>186</v>
      </c>
      <c r="AI206" s="111" t="s">
        <v>5156</v>
      </c>
      <c r="AJ206" s="111">
        <v>3000000</v>
      </c>
      <c r="AK206" s="97">
        <v>1</v>
      </c>
      <c r="AL206" s="20">
        <f t="shared" si="76"/>
        <v>329</v>
      </c>
      <c r="AM206" s="115">
        <f t="shared" si="77"/>
        <v>987000000</v>
      </c>
      <c r="AN206" s="20"/>
    </row>
    <row r="207" spans="7:45">
      <c r="G207" s="210" t="s">
        <v>5512</v>
      </c>
      <c r="H207" s="1">
        <v>800000</v>
      </c>
      <c r="I207" t="s">
        <v>5539</v>
      </c>
      <c r="Q207" s="187" t="s">
        <v>5731</v>
      </c>
      <c r="R207" s="187" t="s">
        <v>5268</v>
      </c>
      <c r="S207" s="186">
        <v>4000000</v>
      </c>
      <c r="T207" s="210" t="s">
        <v>4759</v>
      </c>
      <c r="U207" s="210">
        <v>15257</v>
      </c>
      <c r="V207" s="111">
        <v>262.19018</v>
      </c>
      <c r="W207" s="111">
        <f t="shared" si="69"/>
        <v>4000235.57626</v>
      </c>
      <c r="X207" s="97" t="s">
        <v>452</v>
      </c>
      <c r="AH207" s="97">
        <v>187</v>
      </c>
      <c r="AI207" s="111" t="s">
        <v>5193</v>
      </c>
      <c r="AJ207" s="111">
        <v>500000</v>
      </c>
      <c r="AK207" s="97">
        <v>23</v>
      </c>
      <c r="AL207" s="20">
        <f t="shared" si="76"/>
        <v>328</v>
      </c>
      <c r="AM207" s="115">
        <f t="shared" si="77"/>
        <v>164000000</v>
      </c>
      <c r="AN207" s="20"/>
      <c r="AR207" t="s">
        <v>25</v>
      </c>
    </row>
    <row r="208" spans="7:45">
      <c r="G208" s="210" t="s">
        <v>5528</v>
      </c>
      <c r="H208" s="1">
        <v>1948000</v>
      </c>
      <c r="P208" s="112"/>
      <c r="Q208" s="187" t="s">
        <v>1071</v>
      </c>
      <c r="R208" s="187" t="s">
        <v>5279</v>
      </c>
      <c r="S208" s="186">
        <v>40000000</v>
      </c>
      <c r="T208" s="210" t="s">
        <v>4759</v>
      </c>
      <c r="U208" s="210">
        <v>8444</v>
      </c>
      <c r="V208" s="111">
        <v>266.43029999999999</v>
      </c>
      <c r="W208" s="111">
        <f t="shared" si="69"/>
        <v>2249737.4531999999</v>
      </c>
      <c r="X208" s="97" t="s">
        <v>452</v>
      </c>
      <c r="AH208" s="97">
        <v>188</v>
      </c>
      <c r="AI208" s="111" t="s">
        <v>5215</v>
      </c>
      <c r="AJ208" s="111">
        <v>101268</v>
      </c>
      <c r="AK208" s="97">
        <v>1</v>
      </c>
      <c r="AL208" s="20">
        <f t="shared" si="76"/>
        <v>305</v>
      </c>
      <c r="AM208" s="115">
        <f t="shared" si="77"/>
        <v>30886740</v>
      </c>
      <c r="AN208" s="20"/>
      <c r="AR208" t="s">
        <v>25</v>
      </c>
    </row>
    <row r="209" spans="6:46">
      <c r="G209" s="210" t="s">
        <v>5561</v>
      </c>
      <c r="H209" s="1">
        <v>5745697.3157000002</v>
      </c>
      <c r="Q209" s="19" t="s">
        <v>4411</v>
      </c>
      <c r="R209" s="19" t="s">
        <v>5284</v>
      </c>
      <c r="S209" s="115">
        <v>-800000</v>
      </c>
      <c r="T209" s="210" t="s">
        <v>4764</v>
      </c>
      <c r="U209" s="210">
        <v>-6209</v>
      </c>
      <c r="V209" s="111">
        <v>273.79649999999998</v>
      </c>
      <c r="W209" s="111">
        <f t="shared" si="69"/>
        <v>-1700002.4685</v>
      </c>
      <c r="X209" s="97" t="s">
        <v>4775</v>
      </c>
      <c r="AH209" s="97">
        <v>189</v>
      </c>
      <c r="AI209" s="111" t="s">
        <v>5218</v>
      </c>
      <c r="AJ209" s="111">
        <v>101000</v>
      </c>
      <c r="AK209" s="97">
        <v>34</v>
      </c>
      <c r="AL209" s="20">
        <f t="shared" si="76"/>
        <v>304</v>
      </c>
      <c r="AM209" s="115">
        <f t="shared" si="77"/>
        <v>30704000</v>
      </c>
      <c r="AN209" s="20"/>
      <c r="AP209" t="s">
        <v>25</v>
      </c>
      <c r="AT209" s="94" t="s">
        <v>25</v>
      </c>
    </row>
    <row r="210" spans="6:46">
      <c r="G210" s="210" t="s">
        <v>5562</v>
      </c>
      <c r="H210" s="1">
        <v>908158.17935999995</v>
      </c>
      <c r="P210" t="s">
        <v>25</v>
      </c>
      <c r="Q210" s="210" t="s">
        <v>4411</v>
      </c>
      <c r="R210" s="210" t="s">
        <v>5375</v>
      </c>
      <c r="S210" s="115">
        <v>700000</v>
      </c>
      <c r="T210" s="210" t="s">
        <v>4764</v>
      </c>
      <c r="U210" s="210">
        <v>-8014</v>
      </c>
      <c r="V210" s="111">
        <v>273.79649999999998</v>
      </c>
      <c r="W210" s="111">
        <f t="shared" si="69"/>
        <v>-2194205.1510000001</v>
      </c>
      <c r="X210" s="97" t="s">
        <v>744</v>
      </c>
      <c r="AH210" s="97">
        <v>190</v>
      </c>
      <c r="AI210" s="111" t="s">
        <v>5243</v>
      </c>
      <c r="AJ210" s="111">
        <v>-488602</v>
      </c>
      <c r="AK210" s="97">
        <v>5</v>
      </c>
      <c r="AL210" s="20">
        <f t="shared" si="76"/>
        <v>270</v>
      </c>
      <c r="AM210" s="115">
        <f t="shared" si="77"/>
        <v>-131922540</v>
      </c>
      <c r="AN210" s="20"/>
      <c r="AR210" t="s">
        <v>25</v>
      </c>
    </row>
    <row r="211" spans="6:46">
      <c r="G211" s="210" t="s">
        <v>5563</v>
      </c>
      <c r="H211" s="1">
        <v>12642697.648548001</v>
      </c>
      <c r="Q211" s="187" t="s">
        <v>5396</v>
      </c>
      <c r="R211" s="187" t="s">
        <v>5394</v>
      </c>
      <c r="S211" s="186">
        <v>-26000000</v>
      </c>
      <c r="T211" s="210" t="s">
        <v>4773</v>
      </c>
      <c r="U211" s="210">
        <v>-9176</v>
      </c>
      <c r="V211" s="111">
        <v>273.79649999999998</v>
      </c>
      <c r="W211" s="111">
        <f t="shared" si="69"/>
        <v>-2512356.6839999999</v>
      </c>
      <c r="X211" s="97" t="s">
        <v>452</v>
      </c>
      <c r="AH211" s="97">
        <v>191</v>
      </c>
      <c r="AI211" s="111" t="s">
        <v>5257</v>
      </c>
      <c r="AJ211" s="111">
        <v>360000</v>
      </c>
      <c r="AK211" s="97">
        <v>10</v>
      </c>
      <c r="AL211" s="20">
        <f t="shared" si="76"/>
        <v>265</v>
      </c>
      <c r="AM211" s="115">
        <f t="shared" si="77"/>
        <v>95400000</v>
      </c>
      <c r="AN211" s="20"/>
      <c r="AR211" t="s">
        <v>25</v>
      </c>
    </row>
    <row r="212" spans="6:46">
      <c r="G212" s="210" t="s">
        <v>5564</v>
      </c>
      <c r="H212" s="1">
        <v>12297318</v>
      </c>
      <c r="I212" t="s">
        <v>25</v>
      </c>
      <c r="P212" s="112"/>
      <c r="Q212" s="187" t="s">
        <v>5396</v>
      </c>
      <c r="R212" s="187" t="s">
        <v>5399</v>
      </c>
      <c r="S212" s="186">
        <v>-95900000</v>
      </c>
      <c r="T212" s="210" t="s">
        <v>4773</v>
      </c>
      <c r="U212" s="210">
        <v>1087</v>
      </c>
      <c r="V212" s="111">
        <v>273.79649999999998</v>
      </c>
      <c r="W212" s="111">
        <f t="shared" si="69"/>
        <v>297616.79550000001</v>
      </c>
      <c r="X212" s="97" t="s">
        <v>452</v>
      </c>
      <c r="AH212" s="97">
        <v>192</v>
      </c>
      <c r="AI212" s="111" t="s">
        <v>5268</v>
      </c>
      <c r="AJ212" s="111">
        <v>-3600000</v>
      </c>
      <c r="AK212" s="97">
        <v>4</v>
      </c>
      <c r="AL212" s="20">
        <f t="shared" si="76"/>
        <v>255</v>
      </c>
      <c r="AM212" s="115">
        <f t="shared" si="77"/>
        <v>-918000000</v>
      </c>
      <c r="AN212" s="20"/>
      <c r="AS212" t="s">
        <v>25</v>
      </c>
    </row>
    <row r="213" spans="6:46">
      <c r="G213" s="210" t="s">
        <v>5565</v>
      </c>
      <c r="H213" s="1">
        <v>8959644</v>
      </c>
      <c r="P213" s="112"/>
      <c r="Q213" s="187" t="s">
        <v>5396</v>
      </c>
      <c r="R213" s="187" t="s">
        <v>5400</v>
      </c>
      <c r="S213" s="186">
        <v>-28950000</v>
      </c>
      <c r="T213" s="210" t="s">
        <v>966</v>
      </c>
      <c r="U213" s="210">
        <v>-4017</v>
      </c>
      <c r="V213" s="111">
        <v>273.79649999999998</v>
      </c>
      <c r="W213" s="111">
        <f t="shared" si="69"/>
        <v>-1099840.5404999999</v>
      </c>
      <c r="X213" s="97" t="s">
        <v>4411</v>
      </c>
      <c r="AH213" s="97">
        <v>193</v>
      </c>
      <c r="AI213" s="111" t="s">
        <v>5276</v>
      </c>
      <c r="AJ213" s="111">
        <v>-1000000</v>
      </c>
      <c r="AK213" s="97">
        <v>5</v>
      </c>
      <c r="AL213" s="20">
        <f t="shared" si="76"/>
        <v>251</v>
      </c>
      <c r="AM213" s="115">
        <f t="shared" si="77"/>
        <v>-251000000</v>
      </c>
      <c r="AN213" s="20"/>
      <c r="AR213" t="s">
        <v>25</v>
      </c>
    </row>
    <row r="214" spans="6:46">
      <c r="G214" s="210" t="s">
        <v>5566</v>
      </c>
      <c r="H214" s="111">
        <v>15154095.839328</v>
      </c>
      <c r="P214" s="112"/>
      <c r="Q214" s="170" t="s">
        <v>5411</v>
      </c>
      <c r="R214" s="170" t="s">
        <v>5409</v>
      </c>
      <c r="S214" s="168">
        <v>2000000</v>
      </c>
      <c r="T214" s="210" t="s">
        <v>966</v>
      </c>
      <c r="U214" s="210">
        <v>4017</v>
      </c>
      <c r="V214" s="111">
        <v>273.79649999999998</v>
      </c>
      <c r="W214" s="111">
        <f t="shared" si="69"/>
        <v>1099840.5404999999</v>
      </c>
      <c r="X214" s="97" t="s">
        <v>452</v>
      </c>
      <c r="AH214" s="97">
        <v>194</v>
      </c>
      <c r="AI214" s="111" t="s">
        <v>5282</v>
      </c>
      <c r="AJ214" s="111">
        <v>360000</v>
      </c>
      <c r="AK214" s="97">
        <v>2</v>
      </c>
      <c r="AL214" s="20">
        <f t="shared" ref="AL214:AL249" si="78">AL215+AK214</f>
        <v>246</v>
      </c>
      <c r="AM214" s="115">
        <f t="shared" ref="AM214:AM249" si="79">AJ214*AL214</f>
        <v>88560000</v>
      </c>
      <c r="AN214" s="20"/>
      <c r="AQ214" t="s">
        <v>25</v>
      </c>
    </row>
    <row r="215" spans="6:46">
      <c r="G215" s="210" t="s">
        <v>5571</v>
      </c>
      <c r="H215" s="111">
        <v>4108143</v>
      </c>
      <c r="P215" s="112"/>
      <c r="Q215" s="187" t="s">
        <v>5417</v>
      </c>
      <c r="R215" s="187" t="s">
        <v>5415</v>
      </c>
      <c r="S215" s="186">
        <v>1896188</v>
      </c>
      <c r="T215" s="210" t="s">
        <v>4780</v>
      </c>
      <c r="U215" s="210">
        <v>3137</v>
      </c>
      <c r="V215" s="111">
        <v>283.69110000000001</v>
      </c>
      <c r="W215" s="111">
        <f t="shared" si="69"/>
        <v>889938.98070000007</v>
      </c>
      <c r="X215" s="97" t="s">
        <v>452</v>
      </c>
      <c r="Y215" t="s">
        <v>25</v>
      </c>
      <c r="AH215" s="97">
        <v>195</v>
      </c>
      <c r="AI215" s="111" t="s">
        <v>5287</v>
      </c>
      <c r="AJ215" s="111">
        <v>2000000</v>
      </c>
      <c r="AK215" s="97">
        <v>1</v>
      </c>
      <c r="AL215" s="20">
        <f t="shared" si="78"/>
        <v>244</v>
      </c>
      <c r="AM215" s="115">
        <f t="shared" si="79"/>
        <v>488000000</v>
      </c>
      <c r="AN215" s="20"/>
    </row>
    <row r="216" spans="6:46">
      <c r="G216" s="210" t="s">
        <v>5577</v>
      </c>
      <c r="H216" s="111">
        <v>6000000</v>
      </c>
      <c r="P216" s="112"/>
      <c r="Q216" s="187" t="s">
        <v>5492</v>
      </c>
      <c r="R216" s="187" t="s">
        <v>5490</v>
      </c>
      <c r="S216" s="186">
        <v>0</v>
      </c>
      <c r="T216" s="210" t="s">
        <v>4793</v>
      </c>
      <c r="U216" s="210">
        <v>101933</v>
      </c>
      <c r="V216" s="111">
        <v>294.30973999999998</v>
      </c>
      <c r="W216" s="111">
        <f t="shared" si="69"/>
        <v>29999874.727419998</v>
      </c>
      <c r="X216" s="97" t="s">
        <v>1071</v>
      </c>
      <c r="Y216" t="s">
        <v>25</v>
      </c>
      <c r="AH216" s="97">
        <v>196</v>
      </c>
      <c r="AI216" s="111" t="s">
        <v>5290</v>
      </c>
      <c r="AJ216" s="111">
        <v>20000000</v>
      </c>
      <c r="AK216" s="97">
        <v>0</v>
      </c>
      <c r="AL216" s="20">
        <f t="shared" si="78"/>
        <v>243</v>
      </c>
      <c r="AM216" s="115">
        <f t="shared" si="79"/>
        <v>4860000000</v>
      </c>
      <c r="AN216" s="20" t="s">
        <v>4691</v>
      </c>
      <c r="AR216" t="s">
        <v>25</v>
      </c>
    </row>
    <row r="217" spans="6:46">
      <c r="G217" s="210" t="s">
        <v>5581</v>
      </c>
      <c r="H217" s="111">
        <v>8301786</v>
      </c>
      <c r="I217" t="s">
        <v>25</v>
      </c>
      <c r="J217" t="s">
        <v>25</v>
      </c>
      <c r="P217" s="112"/>
      <c r="Q217" s="187" t="s">
        <v>5582</v>
      </c>
      <c r="R217" s="187" t="s">
        <v>5577</v>
      </c>
      <c r="S217" s="186">
        <v>-1265000</v>
      </c>
      <c r="T217" s="210" t="s">
        <v>4800</v>
      </c>
      <c r="U217" s="210">
        <v>3407</v>
      </c>
      <c r="V217" s="111">
        <v>293.43799999999999</v>
      </c>
      <c r="W217" s="111">
        <f t="shared" si="69"/>
        <v>999743.26599999995</v>
      </c>
      <c r="X217" s="97" t="s">
        <v>452</v>
      </c>
      <c r="AH217" s="97">
        <v>197</v>
      </c>
      <c r="AI217" s="111" t="s">
        <v>5290</v>
      </c>
      <c r="AJ217" s="111">
        <v>-4700000</v>
      </c>
      <c r="AK217" s="97">
        <v>1</v>
      </c>
      <c r="AL217" s="20">
        <f t="shared" si="78"/>
        <v>243</v>
      </c>
      <c r="AM217" s="115">
        <f t="shared" si="79"/>
        <v>-1142100000</v>
      </c>
      <c r="AN217" s="20"/>
    </row>
    <row r="218" spans="6:46">
      <c r="G218" s="210" t="s">
        <v>5587</v>
      </c>
      <c r="H218" s="111">
        <v>50725508.571864001</v>
      </c>
      <c r="J218" t="s">
        <v>25</v>
      </c>
      <c r="P218" s="112"/>
      <c r="Q218" s="187" t="s">
        <v>5621</v>
      </c>
      <c r="R218" s="187" t="s">
        <v>4214</v>
      </c>
      <c r="S218" s="186">
        <v>13752871.322800001</v>
      </c>
      <c r="T218" s="210" t="s">
        <v>4801</v>
      </c>
      <c r="U218" s="210">
        <v>68796</v>
      </c>
      <c r="V218" s="111">
        <v>293.53250000000003</v>
      </c>
      <c r="W218" s="111">
        <f t="shared" si="69"/>
        <v>20193861.870000001</v>
      </c>
      <c r="X218" s="97" t="s">
        <v>744</v>
      </c>
      <c r="AH218" s="97">
        <v>198</v>
      </c>
      <c r="AI218" s="111" t="s">
        <v>5294</v>
      </c>
      <c r="AJ218" s="111">
        <v>3000000</v>
      </c>
      <c r="AK218" s="97">
        <v>4</v>
      </c>
      <c r="AL218" s="20">
        <f t="shared" si="78"/>
        <v>242</v>
      </c>
      <c r="AM218" s="115">
        <f t="shared" si="79"/>
        <v>726000000</v>
      </c>
      <c r="AN218" s="20"/>
      <c r="AS218" t="s">
        <v>25</v>
      </c>
    </row>
    <row r="219" spans="6:46">
      <c r="G219" s="210" t="s">
        <v>5589</v>
      </c>
      <c r="H219" s="111">
        <v>2281961.458596</v>
      </c>
      <c r="P219" s="112"/>
      <c r="Q219" s="213" t="s">
        <v>5411</v>
      </c>
      <c r="R219" s="213" t="s">
        <v>5623</v>
      </c>
      <c r="S219" s="240">
        <v>-48150</v>
      </c>
      <c r="T219" s="210" t="s">
        <v>4801</v>
      </c>
      <c r="U219" s="210">
        <v>154791</v>
      </c>
      <c r="V219" s="111">
        <v>293.53250000000003</v>
      </c>
      <c r="W219" s="111">
        <f t="shared" si="69"/>
        <v>45436189.207500003</v>
      </c>
      <c r="X219" s="97" t="s">
        <v>452</v>
      </c>
      <c r="AH219" s="97">
        <v>199</v>
      </c>
      <c r="AI219" s="111" t="s">
        <v>5297</v>
      </c>
      <c r="AJ219" s="111">
        <v>1500000</v>
      </c>
      <c r="AK219" s="97">
        <v>1</v>
      </c>
      <c r="AL219" s="20">
        <f t="shared" si="78"/>
        <v>238</v>
      </c>
      <c r="AM219" s="115">
        <f t="shared" si="79"/>
        <v>357000000</v>
      </c>
      <c r="AN219" s="20"/>
    </row>
    <row r="220" spans="6:46">
      <c r="F220" s="94"/>
      <c r="G220" s="210" t="s">
        <v>5596</v>
      </c>
      <c r="H220" s="111">
        <v>10998285</v>
      </c>
      <c r="K220" t="s">
        <v>25</v>
      </c>
      <c r="P220" s="112"/>
      <c r="Q220" s="19" t="s">
        <v>5636</v>
      </c>
      <c r="R220" s="19" t="s">
        <v>5633</v>
      </c>
      <c r="S220" s="115">
        <v>3123901.3702000002</v>
      </c>
      <c r="T220" s="210" t="s">
        <v>4801</v>
      </c>
      <c r="U220" s="210">
        <v>-11923</v>
      </c>
      <c r="V220" s="111">
        <v>293.53250000000003</v>
      </c>
      <c r="W220" s="111">
        <f t="shared" si="69"/>
        <v>-3499787.9975000005</v>
      </c>
      <c r="X220" s="97" t="s">
        <v>452</v>
      </c>
      <c r="AH220" s="97">
        <v>200</v>
      </c>
      <c r="AI220" s="111" t="s">
        <v>5300</v>
      </c>
      <c r="AJ220" s="111">
        <v>30000000</v>
      </c>
      <c r="AK220" s="97">
        <v>33</v>
      </c>
      <c r="AL220" s="20">
        <f t="shared" si="78"/>
        <v>237</v>
      </c>
      <c r="AM220" s="115">
        <f t="shared" si="79"/>
        <v>7110000000</v>
      </c>
      <c r="AN220" s="20"/>
    </row>
    <row r="221" spans="6:46">
      <c r="F221" s="94"/>
      <c r="G221" s="210" t="s">
        <v>5597</v>
      </c>
      <c r="H221" s="111">
        <v>983018.96187300002</v>
      </c>
      <c r="J221" t="s">
        <v>25</v>
      </c>
      <c r="Q221" s="213" t="s">
        <v>5411</v>
      </c>
      <c r="R221" s="213" t="s">
        <v>5647</v>
      </c>
      <c r="S221" s="240">
        <v>-50000</v>
      </c>
      <c r="T221" s="210" t="s">
        <v>4813</v>
      </c>
      <c r="U221" s="210">
        <v>8424</v>
      </c>
      <c r="V221" s="111">
        <v>299.15170000000001</v>
      </c>
      <c r="W221" s="111">
        <f t="shared" si="69"/>
        <v>2520053.9208</v>
      </c>
      <c r="X221" s="97" t="s">
        <v>452</v>
      </c>
      <c r="AH221" s="97">
        <v>201</v>
      </c>
      <c r="AI221" s="111" t="s">
        <v>5379</v>
      </c>
      <c r="AJ221" s="111">
        <v>3000000</v>
      </c>
      <c r="AK221" s="97">
        <v>1</v>
      </c>
      <c r="AL221" s="20">
        <f t="shared" si="78"/>
        <v>204</v>
      </c>
      <c r="AM221" s="115">
        <f t="shared" si="79"/>
        <v>612000000</v>
      </c>
      <c r="AN221" s="20"/>
    </row>
    <row r="222" spans="6:46">
      <c r="F222" s="94"/>
      <c r="G222" s="210" t="s">
        <v>5599</v>
      </c>
      <c r="H222" s="111">
        <v>17049271.032000002</v>
      </c>
      <c r="I222" s="94"/>
      <c r="J222" t="s">
        <v>25</v>
      </c>
      <c r="Q222" s="213" t="s">
        <v>5411</v>
      </c>
      <c r="R222" s="213" t="s">
        <v>5653</v>
      </c>
      <c r="S222" s="240">
        <v>-120000</v>
      </c>
      <c r="T222" s="210" t="s">
        <v>4848</v>
      </c>
      <c r="U222" s="210">
        <v>15943</v>
      </c>
      <c r="V222" s="111">
        <v>307.34415000000001</v>
      </c>
      <c r="W222" s="111">
        <f t="shared" si="69"/>
        <v>4899987.78345</v>
      </c>
      <c r="X222" s="97" t="s">
        <v>452</v>
      </c>
      <c r="AH222" s="97">
        <v>202</v>
      </c>
      <c r="AI222" s="111" t="s">
        <v>5380</v>
      </c>
      <c r="AJ222" s="111">
        <v>7000000</v>
      </c>
      <c r="AK222" s="97">
        <v>4</v>
      </c>
      <c r="AL222" s="20">
        <f t="shared" si="78"/>
        <v>203</v>
      </c>
      <c r="AM222" s="115">
        <f t="shared" si="79"/>
        <v>1421000000</v>
      </c>
      <c r="AN222" s="20"/>
    </row>
    <row r="223" spans="6:46">
      <c r="F223" s="94"/>
      <c r="G223" s="210" t="s">
        <v>5602</v>
      </c>
      <c r="H223" s="111">
        <v>6829998</v>
      </c>
      <c r="I223" s="94"/>
      <c r="P223" s="112" t="s">
        <v>25</v>
      </c>
      <c r="Q223" s="271" t="s">
        <v>5411</v>
      </c>
      <c r="R223" s="271" t="s">
        <v>5641</v>
      </c>
      <c r="S223" s="92">
        <v>-150000</v>
      </c>
      <c r="T223" s="210" t="s">
        <v>4867</v>
      </c>
      <c r="U223" s="210">
        <v>3741</v>
      </c>
      <c r="V223" s="111">
        <v>307.34415000000001</v>
      </c>
      <c r="W223" s="111">
        <f t="shared" si="69"/>
        <v>1149774.4651500001</v>
      </c>
      <c r="X223" s="97" t="s">
        <v>452</v>
      </c>
      <c r="Z223" t="s">
        <v>25</v>
      </c>
      <c r="AH223" s="97">
        <v>203</v>
      </c>
      <c r="AI223" s="111" t="s">
        <v>5393</v>
      </c>
      <c r="AJ223" s="111">
        <v>8800000</v>
      </c>
      <c r="AK223" s="97">
        <v>2</v>
      </c>
      <c r="AL223" s="20">
        <f t="shared" si="78"/>
        <v>199</v>
      </c>
      <c r="AM223" s="115">
        <f t="shared" si="79"/>
        <v>1751200000</v>
      </c>
      <c r="AN223" s="20"/>
    </row>
    <row r="224" spans="6:46" ht="28.5" customHeight="1">
      <c r="F224" s="94"/>
      <c r="G224" s="210" t="s">
        <v>4214</v>
      </c>
      <c r="H224" s="111">
        <v>6982608.8207999999</v>
      </c>
      <c r="I224" s="94"/>
      <c r="P224" s="112"/>
      <c r="Q224" s="271" t="s">
        <v>5411</v>
      </c>
      <c r="R224" s="271" t="s">
        <v>5668</v>
      </c>
      <c r="S224" s="92">
        <v>-200000</v>
      </c>
      <c r="T224" s="210" t="s">
        <v>4872</v>
      </c>
      <c r="U224" s="210">
        <v>-6207</v>
      </c>
      <c r="V224" s="111">
        <v>322.214</v>
      </c>
      <c r="W224" s="111">
        <f t="shared" si="69"/>
        <v>-1999982.298</v>
      </c>
      <c r="X224" s="97" t="s">
        <v>744</v>
      </c>
      <c r="AH224" s="97">
        <v>204</v>
      </c>
      <c r="AI224" s="111" t="s">
        <v>5399</v>
      </c>
      <c r="AJ224" s="111">
        <v>40000000</v>
      </c>
      <c r="AK224" s="97">
        <v>8</v>
      </c>
      <c r="AL224" s="20">
        <f t="shared" si="78"/>
        <v>197</v>
      </c>
      <c r="AM224" s="115">
        <f t="shared" si="79"/>
        <v>7880000000</v>
      </c>
      <c r="AN224" s="20" t="s">
        <v>4691</v>
      </c>
    </row>
    <row r="225" spans="4:45">
      <c r="F225" s="94"/>
      <c r="G225" s="210" t="s">
        <v>5626</v>
      </c>
      <c r="H225" s="111">
        <v>7510131.0216000006</v>
      </c>
      <c r="I225" s="94"/>
      <c r="J225" t="s">
        <v>25</v>
      </c>
      <c r="P225" t="s">
        <v>25</v>
      </c>
      <c r="Q225" s="271" t="s">
        <v>5411</v>
      </c>
      <c r="R225" s="271" t="s">
        <v>5673</v>
      </c>
      <c r="S225" s="92">
        <v>-120000</v>
      </c>
      <c r="T225" s="210" t="s">
        <v>4872</v>
      </c>
      <c r="U225" s="210">
        <v>6207</v>
      </c>
      <c r="V225" s="111">
        <v>322.214</v>
      </c>
      <c r="W225" s="111">
        <f t="shared" si="69"/>
        <v>1999982.298</v>
      </c>
      <c r="X225" s="97" t="s">
        <v>4411</v>
      </c>
      <c r="AH225" s="97">
        <v>205</v>
      </c>
      <c r="AI225" s="111" t="s">
        <v>5415</v>
      </c>
      <c r="AJ225" s="111">
        <v>400000</v>
      </c>
      <c r="AK225" s="97">
        <v>17</v>
      </c>
      <c r="AL225" s="20">
        <f t="shared" si="78"/>
        <v>189</v>
      </c>
      <c r="AM225" s="115">
        <f t="shared" si="79"/>
        <v>75600000</v>
      </c>
      <c r="AN225" s="20"/>
      <c r="AR225" t="s">
        <v>25</v>
      </c>
    </row>
    <row r="226" spans="4:45">
      <c r="F226" s="94"/>
      <c r="G226" s="210" t="s">
        <v>5633</v>
      </c>
      <c r="H226" s="111">
        <v>10397191</v>
      </c>
      <c r="J226" t="s">
        <v>25</v>
      </c>
      <c r="K226" t="s">
        <v>25</v>
      </c>
      <c r="Q226" s="271" t="s">
        <v>5411</v>
      </c>
      <c r="R226" s="271" t="s">
        <v>5714</v>
      </c>
      <c r="S226" s="92">
        <v>-6000000</v>
      </c>
      <c r="T226" s="210" t="s">
        <v>4820</v>
      </c>
      <c r="U226" s="210">
        <v>776</v>
      </c>
      <c r="V226" s="111">
        <v>322.214</v>
      </c>
      <c r="W226" s="111">
        <f t="shared" si="69"/>
        <v>250038.06400000001</v>
      </c>
      <c r="X226" s="97" t="s">
        <v>452</v>
      </c>
      <c r="AH226" s="97">
        <v>206</v>
      </c>
      <c r="AI226" s="111" t="s">
        <v>5435</v>
      </c>
      <c r="AJ226" s="111">
        <v>-20000000</v>
      </c>
      <c r="AK226" s="97">
        <v>18</v>
      </c>
      <c r="AL226" s="20">
        <f t="shared" si="78"/>
        <v>172</v>
      </c>
      <c r="AM226" s="115">
        <f t="shared" si="79"/>
        <v>-3440000000</v>
      </c>
      <c r="AN226" s="20" t="s">
        <v>4992</v>
      </c>
    </row>
    <row r="227" spans="4:45" ht="45">
      <c r="D227" s="94"/>
      <c r="E227" s="94"/>
      <c r="G227" s="210" t="s">
        <v>5642</v>
      </c>
      <c r="H227" s="111">
        <v>195059.35799999998</v>
      </c>
      <c r="J227" t="s">
        <v>25</v>
      </c>
      <c r="Q227" s="262" t="s">
        <v>5750</v>
      </c>
      <c r="R227" s="187" t="s">
        <v>5714</v>
      </c>
      <c r="S227" s="186">
        <v>-6200000</v>
      </c>
      <c r="T227" s="210" t="s">
        <v>4895</v>
      </c>
      <c r="U227" s="210">
        <v>1524</v>
      </c>
      <c r="V227" s="111">
        <v>314.95999999999998</v>
      </c>
      <c r="W227" s="111">
        <f t="shared" si="69"/>
        <v>479999.04</v>
      </c>
      <c r="X227" s="97" t="s">
        <v>1071</v>
      </c>
      <c r="AH227" s="97">
        <v>207</v>
      </c>
      <c r="AI227" s="111" t="s">
        <v>5456</v>
      </c>
      <c r="AJ227" s="111">
        <v>3006000</v>
      </c>
      <c r="AK227" s="97">
        <v>19</v>
      </c>
      <c r="AL227" s="20">
        <f t="shared" si="78"/>
        <v>154</v>
      </c>
      <c r="AM227" s="115">
        <f t="shared" si="79"/>
        <v>462924000</v>
      </c>
      <c r="AN227" s="20"/>
    </row>
    <row r="228" spans="4:45">
      <c r="D228" s="94"/>
      <c r="E228" s="94"/>
      <c r="G228" s="210" t="s">
        <v>5647</v>
      </c>
      <c r="H228" s="111">
        <v>744082</v>
      </c>
      <c r="Q228" s="19" t="s">
        <v>4967</v>
      </c>
      <c r="R228" s="19" t="s">
        <v>5714</v>
      </c>
      <c r="S228" s="115">
        <v>-1500000</v>
      </c>
      <c r="T228" s="210" t="s">
        <v>4902</v>
      </c>
      <c r="U228" s="210">
        <v>4435</v>
      </c>
      <c r="V228" s="111">
        <v>316.4375</v>
      </c>
      <c r="W228" s="111">
        <f t="shared" si="69"/>
        <v>1403400.3125</v>
      </c>
      <c r="X228" s="97" t="s">
        <v>452</v>
      </c>
      <c r="AH228" s="97">
        <v>208</v>
      </c>
      <c r="AI228" s="111" t="s">
        <v>5341</v>
      </c>
      <c r="AJ228" s="111">
        <v>-130382924</v>
      </c>
      <c r="AK228" s="97">
        <v>0</v>
      </c>
      <c r="AL228" s="20">
        <f t="shared" si="78"/>
        <v>135</v>
      </c>
      <c r="AM228" s="115">
        <f t="shared" si="79"/>
        <v>-17601694740</v>
      </c>
      <c r="AN228" s="20" t="s">
        <v>5486</v>
      </c>
      <c r="AR228" t="s">
        <v>25</v>
      </c>
    </row>
    <row r="229" spans="4:45">
      <c r="D229" s="94"/>
      <c r="E229" s="94"/>
      <c r="G229" s="210" t="s">
        <v>5649</v>
      </c>
      <c r="H229" s="111">
        <v>920308.446</v>
      </c>
      <c r="Q229" s="187" t="s">
        <v>5734</v>
      </c>
      <c r="R229" s="187" t="s">
        <v>5714</v>
      </c>
      <c r="S229" s="186">
        <v>-15000000</v>
      </c>
      <c r="T229" s="210" t="s">
        <v>4905</v>
      </c>
      <c r="U229" s="210">
        <v>624</v>
      </c>
      <c r="V229" s="111">
        <v>320.5</v>
      </c>
      <c r="W229" s="111">
        <f t="shared" si="69"/>
        <v>199992</v>
      </c>
      <c r="X229" s="97" t="s">
        <v>452</v>
      </c>
      <c r="AH229" s="97">
        <v>209</v>
      </c>
      <c r="AI229" s="111" t="s">
        <v>5341</v>
      </c>
      <c r="AJ229" s="111">
        <v>125000000</v>
      </c>
      <c r="AK229" s="97">
        <v>1</v>
      </c>
      <c r="AL229" s="20">
        <f t="shared" si="78"/>
        <v>135</v>
      </c>
      <c r="AM229" s="115">
        <f t="shared" si="79"/>
        <v>16875000000</v>
      </c>
      <c r="AN229" s="20"/>
      <c r="AR229" t="s">
        <v>25</v>
      </c>
    </row>
    <row r="230" spans="4:45">
      <c r="D230" s="94"/>
      <c r="E230" s="94"/>
      <c r="G230" s="210" t="s">
        <v>5650</v>
      </c>
      <c r="H230" s="111">
        <v>4635809.8416840006</v>
      </c>
      <c r="Q230" s="187" t="s">
        <v>5733</v>
      </c>
      <c r="R230" s="187" t="s">
        <v>5714</v>
      </c>
      <c r="S230" s="186">
        <v>15000000</v>
      </c>
      <c r="T230" s="210" t="s">
        <v>4910</v>
      </c>
      <c r="U230" s="210">
        <v>1086</v>
      </c>
      <c r="V230" s="111">
        <v>317.55</v>
      </c>
      <c r="W230" s="111">
        <f t="shared" si="69"/>
        <v>344859.3</v>
      </c>
      <c r="X230" s="97" t="s">
        <v>452</v>
      </c>
      <c r="AH230" s="97">
        <v>210</v>
      </c>
      <c r="AI230" s="111" t="s">
        <v>5485</v>
      </c>
      <c r="AJ230" s="111">
        <v>7200000</v>
      </c>
      <c r="AK230" s="97">
        <v>15</v>
      </c>
      <c r="AL230" s="20">
        <f t="shared" si="78"/>
        <v>134</v>
      </c>
      <c r="AM230" s="115">
        <f t="shared" si="79"/>
        <v>964800000</v>
      </c>
      <c r="AN230" s="20"/>
      <c r="AQ230" t="s">
        <v>25</v>
      </c>
      <c r="AS230" t="s">
        <v>25</v>
      </c>
    </row>
    <row r="231" spans="4:45">
      <c r="D231" s="94"/>
      <c r="E231" s="94"/>
      <c r="G231" s="210" t="s">
        <v>5686</v>
      </c>
      <c r="H231" s="111">
        <v>58508002.009000003</v>
      </c>
      <c r="J231" t="s">
        <v>25</v>
      </c>
      <c r="K231" t="s">
        <v>25</v>
      </c>
      <c r="Q231" s="187" t="s">
        <v>5753</v>
      </c>
      <c r="R231" s="187" t="s">
        <v>5746</v>
      </c>
      <c r="S231" s="186">
        <v>-1500000</v>
      </c>
      <c r="T231" s="210" t="s">
        <v>4915</v>
      </c>
      <c r="U231" s="210">
        <v>2820</v>
      </c>
      <c r="V231" s="111">
        <v>319.1096</v>
      </c>
      <c r="W231" s="111">
        <f t="shared" si="69"/>
        <v>899889.07200000004</v>
      </c>
      <c r="X231" s="97" t="s">
        <v>452</v>
      </c>
      <c r="AH231" s="97">
        <v>211</v>
      </c>
      <c r="AI231" s="111" t="s">
        <v>5508</v>
      </c>
      <c r="AJ231" s="111">
        <v>2050000</v>
      </c>
      <c r="AK231" s="97">
        <v>7</v>
      </c>
      <c r="AL231" s="20">
        <f t="shared" si="78"/>
        <v>119</v>
      </c>
      <c r="AM231" s="115">
        <f t="shared" si="79"/>
        <v>243950000</v>
      </c>
      <c r="AN231" s="20"/>
      <c r="AR231" t="s">
        <v>25</v>
      </c>
      <c r="AS231" t="s">
        <v>25</v>
      </c>
    </row>
    <row r="232" spans="4:45">
      <c r="D232" s="94"/>
      <c r="E232" s="94"/>
      <c r="G232" s="210" t="s">
        <v>5688</v>
      </c>
      <c r="H232" s="111">
        <v>2245515.5410799999</v>
      </c>
      <c r="J232" t="s">
        <v>25</v>
      </c>
      <c r="Q232" s="187"/>
      <c r="R232" s="187"/>
      <c r="S232" s="186"/>
      <c r="T232" s="210" t="s">
        <v>4918</v>
      </c>
      <c r="U232" s="210">
        <v>1145</v>
      </c>
      <c r="V232" s="111">
        <v>325.44</v>
      </c>
      <c r="W232" s="111">
        <f t="shared" si="69"/>
        <v>372628.8</v>
      </c>
      <c r="X232" s="97" t="s">
        <v>452</v>
      </c>
      <c r="Y232" t="s">
        <v>25</v>
      </c>
      <c r="AH232" s="97">
        <v>212</v>
      </c>
      <c r="AI232" s="111" t="s">
        <v>5529</v>
      </c>
      <c r="AJ232" s="111">
        <v>50000000</v>
      </c>
      <c r="AK232" s="97">
        <v>24</v>
      </c>
      <c r="AL232" s="20">
        <f t="shared" si="78"/>
        <v>112</v>
      </c>
      <c r="AM232" s="115">
        <f t="shared" si="79"/>
        <v>5600000000</v>
      </c>
      <c r="AN232" s="20" t="s">
        <v>4691</v>
      </c>
    </row>
    <row r="233" spans="4:45">
      <c r="D233" s="94"/>
      <c r="E233" s="94"/>
      <c r="G233" s="210" t="s">
        <v>5690</v>
      </c>
      <c r="H233" s="111">
        <v>18404699.3442</v>
      </c>
      <c r="Q233" s="19"/>
      <c r="R233" s="19"/>
      <c r="S233" s="115"/>
      <c r="T233" s="210" t="s">
        <v>4926</v>
      </c>
      <c r="U233" s="210">
        <v>20153</v>
      </c>
      <c r="V233" s="111">
        <v>322</v>
      </c>
      <c r="W233" s="111">
        <f t="shared" si="69"/>
        <v>6489266</v>
      </c>
      <c r="X233" s="97" t="s">
        <v>452</v>
      </c>
      <c r="AH233" s="97">
        <v>213</v>
      </c>
      <c r="AI233" s="111" t="s">
        <v>5577</v>
      </c>
      <c r="AJ233" s="111">
        <v>-58196600</v>
      </c>
      <c r="AK233" s="97">
        <v>22</v>
      </c>
      <c r="AL233" s="20">
        <f t="shared" si="78"/>
        <v>88</v>
      </c>
      <c r="AM233" s="115">
        <f t="shared" si="79"/>
        <v>-5121300800</v>
      </c>
      <c r="AN233" s="20" t="s">
        <v>4881</v>
      </c>
    </row>
    <row r="234" spans="4:45">
      <c r="G234" s="210" t="s">
        <v>5693</v>
      </c>
      <c r="H234" s="111">
        <v>2264658.5922190002</v>
      </c>
      <c r="Q234" s="210"/>
      <c r="R234" s="210"/>
      <c r="S234" s="111"/>
      <c r="T234" s="210" t="s">
        <v>4936</v>
      </c>
      <c r="U234" s="210">
        <v>93720</v>
      </c>
      <c r="V234" s="111">
        <v>325.435</v>
      </c>
      <c r="W234" s="111">
        <f t="shared" si="69"/>
        <v>30499768.199999999</v>
      </c>
      <c r="X234" s="97" t="s">
        <v>1071</v>
      </c>
      <c r="AH234" s="97">
        <v>214</v>
      </c>
      <c r="AI234" s="111" t="s">
        <v>5623</v>
      </c>
      <c r="AJ234" s="111">
        <v>25000</v>
      </c>
      <c r="AK234" s="97">
        <v>8</v>
      </c>
      <c r="AL234" s="20">
        <f t="shared" si="78"/>
        <v>66</v>
      </c>
      <c r="AM234" s="115">
        <f t="shared" si="79"/>
        <v>1650000</v>
      </c>
      <c r="AN234" s="20"/>
    </row>
    <row r="235" spans="4:45">
      <c r="G235" s="210" t="s">
        <v>5695</v>
      </c>
      <c r="H235" s="111">
        <v>22877413.789960001</v>
      </c>
      <c r="Q235" s="210"/>
      <c r="R235" s="210"/>
      <c r="S235" s="111">
        <f>SUM(S182:S234)</f>
        <v>-14281634.306999996</v>
      </c>
      <c r="T235" s="210" t="s">
        <v>4936</v>
      </c>
      <c r="U235" s="210">
        <v>20895</v>
      </c>
      <c r="V235" s="111">
        <v>325.435</v>
      </c>
      <c r="W235" s="111">
        <f t="shared" si="69"/>
        <v>6799964.3250000002</v>
      </c>
      <c r="X235" s="97" t="s">
        <v>744</v>
      </c>
      <c r="AA235" t="s">
        <v>25</v>
      </c>
      <c r="AH235" s="97">
        <v>215</v>
      </c>
      <c r="AI235" s="111" t="s">
        <v>5647</v>
      </c>
      <c r="AJ235" s="111">
        <v>70000</v>
      </c>
      <c r="AK235" s="97">
        <v>6</v>
      </c>
      <c r="AL235" s="20">
        <f t="shared" si="78"/>
        <v>58</v>
      </c>
      <c r="AM235" s="115">
        <f t="shared" si="79"/>
        <v>4060000</v>
      </c>
      <c r="AN235" s="20"/>
    </row>
    <row r="236" spans="4:45">
      <c r="G236" s="210" t="s">
        <v>5698</v>
      </c>
      <c r="H236" s="111">
        <v>2362539.4373280001</v>
      </c>
      <c r="Q236" s="41"/>
      <c r="R236" s="210"/>
      <c r="S236" s="210" t="s">
        <v>6</v>
      </c>
      <c r="T236" s="210" t="s">
        <v>4945</v>
      </c>
      <c r="U236" s="210">
        <v>2611</v>
      </c>
      <c r="V236" s="111">
        <v>325.435</v>
      </c>
      <c r="W236" s="111">
        <f t="shared" si="69"/>
        <v>849710.78500000003</v>
      </c>
      <c r="X236" s="97" t="s">
        <v>744</v>
      </c>
      <c r="AH236" s="97">
        <v>216</v>
      </c>
      <c r="AI236" s="111" t="s">
        <v>5653</v>
      </c>
      <c r="AJ236" s="111">
        <v>70000</v>
      </c>
      <c r="AK236" s="97">
        <v>1</v>
      </c>
      <c r="AL236" s="20">
        <f t="shared" si="78"/>
        <v>52</v>
      </c>
      <c r="AM236" s="115">
        <f t="shared" si="79"/>
        <v>3640000</v>
      </c>
      <c r="AN236" s="20"/>
      <c r="AR236" t="s">
        <v>25</v>
      </c>
    </row>
    <row r="237" spans="4:45">
      <c r="G237" s="210" t="s">
        <v>5699</v>
      </c>
      <c r="H237" s="111">
        <v>16042676.656608</v>
      </c>
      <c r="Q237" s="94"/>
      <c r="T237" s="210" t="s">
        <v>4954</v>
      </c>
      <c r="U237" s="210">
        <v>6750</v>
      </c>
      <c r="V237" s="111">
        <v>339.3</v>
      </c>
      <c r="W237" s="111">
        <f t="shared" si="69"/>
        <v>2290275</v>
      </c>
      <c r="X237" s="97" t="s">
        <v>744</v>
      </c>
      <c r="AH237" s="97">
        <v>217</v>
      </c>
      <c r="AI237" s="111" t="s">
        <v>5641</v>
      </c>
      <c r="AJ237" s="111">
        <v>150000</v>
      </c>
      <c r="AK237" s="97">
        <v>0</v>
      </c>
      <c r="AL237" s="20">
        <f t="shared" si="78"/>
        <v>51</v>
      </c>
      <c r="AM237" s="115">
        <f t="shared" si="79"/>
        <v>7650000</v>
      </c>
      <c r="AN237" s="20"/>
      <c r="AQ237" t="s">
        <v>25</v>
      </c>
      <c r="AS237" t="s">
        <v>25</v>
      </c>
    </row>
    <row r="238" spans="4:45">
      <c r="G238" s="210" t="s">
        <v>5700</v>
      </c>
      <c r="H238" s="111">
        <v>18403291.448284</v>
      </c>
      <c r="J238" t="s">
        <v>25</v>
      </c>
      <c r="Q238" s="94" t="s">
        <v>25</v>
      </c>
      <c r="R238" s="94" t="s">
        <v>25</v>
      </c>
      <c r="T238" s="210" t="s">
        <v>4962</v>
      </c>
      <c r="U238" s="210">
        <v>1850</v>
      </c>
      <c r="V238" s="111">
        <v>334.10050000000001</v>
      </c>
      <c r="W238" s="111">
        <f t="shared" si="69"/>
        <v>618085.92500000005</v>
      </c>
      <c r="X238" s="97" t="s">
        <v>452</v>
      </c>
      <c r="Y238" t="s">
        <v>25</v>
      </c>
      <c r="AH238" s="97">
        <v>218</v>
      </c>
      <c r="AI238" s="111" t="s">
        <v>5641</v>
      </c>
      <c r="AJ238" s="111">
        <v>-95599450</v>
      </c>
      <c r="AK238" s="97">
        <v>7</v>
      </c>
      <c r="AL238" s="20">
        <f t="shared" si="78"/>
        <v>51</v>
      </c>
      <c r="AM238" s="115">
        <f t="shared" si="79"/>
        <v>-4875571950</v>
      </c>
      <c r="AN238" s="20" t="s">
        <v>5656</v>
      </c>
      <c r="AR238" t="s">
        <v>25</v>
      </c>
    </row>
    <row r="239" spans="4:45">
      <c r="G239" s="210" t="s">
        <v>5703</v>
      </c>
      <c r="H239" s="111">
        <v>10561447.246918</v>
      </c>
      <c r="J239" t="s">
        <v>25</v>
      </c>
      <c r="Q239" s="94" t="s">
        <v>25</v>
      </c>
      <c r="R239" s="94" t="s">
        <v>25</v>
      </c>
      <c r="S239" t="s">
        <v>25</v>
      </c>
      <c r="T239" s="210" t="s">
        <v>4962</v>
      </c>
      <c r="U239" s="210">
        <v>-1194</v>
      </c>
      <c r="V239" s="111">
        <v>335</v>
      </c>
      <c r="W239" s="111">
        <f t="shared" si="69"/>
        <v>-399990</v>
      </c>
      <c r="X239" s="97" t="s">
        <v>4411</v>
      </c>
      <c r="Y239" t="s">
        <v>25</v>
      </c>
      <c r="AH239" s="97">
        <v>219</v>
      </c>
      <c r="AI239" s="111" t="s">
        <v>5668</v>
      </c>
      <c r="AJ239" s="111">
        <v>200000</v>
      </c>
      <c r="AK239" s="97">
        <v>7</v>
      </c>
      <c r="AL239" s="20">
        <f t="shared" si="78"/>
        <v>44</v>
      </c>
      <c r="AM239" s="115">
        <f t="shared" si="79"/>
        <v>8800000</v>
      </c>
      <c r="AN239" s="20"/>
      <c r="AR239" t="s">
        <v>25</v>
      </c>
    </row>
    <row r="240" spans="4:45">
      <c r="G240" s="210" t="s">
        <v>5704</v>
      </c>
      <c r="H240" s="111">
        <v>1226811.9176660001</v>
      </c>
      <c r="S240" t="s">
        <v>25</v>
      </c>
      <c r="T240" s="210" t="s">
        <v>4962</v>
      </c>
      <c r="U240" s="210">
        <v>1194</v>
      </c>
      <c r="V240" s="111">
        <v>335</v>
      </c>
      <c r="W240" s="111">
        <f t="shared" si="69"/>
        <v>399990</v>
      </c>
      <c r="X240" s="97" t="s">
        <v>744</v>
      </c>
      <c r="AH240" s="97">
        <v>220</v>
      </c>
      <c r="AI240" s="111" t="s">
        <v>5673</v>
      </c>
      <c r="AJ240" s="111">
        <v>150000</v>
      </c>
      <c r="AK240" s="97">
        <v>5</v>
      </c>
      <c r="AL240" s="20">
        <f t="shared" si="78"/>
        <v>37</v>
      </c>
      <c r="AM240" s="115">
        <f t="shared" si="79"/>
        <v>5550000</v>
      </c>
      <c r="AN240" s="20"/>
    </row>
    <row r="241" spans="7:44">
      <c r="G241" s="210" t="s">
        <v>5705</v>
      </c>
      <c r="H241" s="111">
        <v>39373959.190266006</v>
      </c>
      <c r="P241" t="s">
        <v>25</v>
      </c>
      <c r="Q241" s="97" t="s">
        <v>744</v>
      </c>
      <c r="R241" s="97"/>
      <c r="S241" t="s">
        <v>25</v>
      </c>
      <c r="T241" s="210" t="s">
        <v>4969</v>
      </c>
      <c r="U241" s="210">
        <v>433</v>
      </c>
      <c r="V241" s="111">
        <v>345.68</v>
      </c>
      <c r="W241" s="111">
        <f t="shared" si="69"/>
        <v>149679.44</v>
      </c>
      <c r="X241" s="97" t="s">
        <v>744</v>
      </c>
      <c r="AH241" s="97">
        <v>221</v>
      </c>
      <c r="AI241" s="111" t="s">
        <v>5677</v>
      </c>
      <c r="AJ241" s="111">
        <v>310000</v>
      </c>
      <c r="AK241" s="97">
        <v>31</v>
      </c>
      <c r="AL241" s="20">
        <f t="shared" si="78"/>
        <v>32</v>
      </c>
      <c r="AM241" s="115">
        <f t="shared" si="79"/>
        <v>9920000</v>
      </c>
      <c r="AN241" s="20"/>
      <c r="AR241" t="s">
        <v>25</v>
      </c>
    </row>
    <row r="242" spans="7:44">
      <c r="G242" s="210" t="s">
        <v>5710</v>
      </c>
      <c r="H242" s="111">
        <v>27703487.063980002</v>
      </c>
      <c r="J242" t="s">
        <v>25</v>
      </c>
      <c r="Q242" s="97" t="s">
        <v>4404</v>
      </c>
      <c r="R242" s="93">
        <v>172908000</v>
      </c>
      <c r="T242" s="210" t="s">
        <v>4973</v>
      </c>
      <c r="U242" s="210">
        <v>55459</v>
      </c>
      <c r="V242" s="111">
        <v>362.51978000000003</v>
      </c>
      <c r="W242" s="111">
        <f t="shared" si="69"/>
        <v>20104984.479020003</v>
      </c>
      <c r="X242" s="97" t="s">
        <v>452</v>
      </c>
      <c r="AH242" s="97">
        <v>222</v>
      </c>
      <c r="AI242" s="111" t="s">
        <v>5714</v>
      </c>
      <c r="AJ242" s="111">
        <v>4200000</v>
      </c>
      <c r="AK242" s="97">
        <v>1</v>
      </c>
      <c r="AL242" s="20">
        <f t="shared" si="78"/>
        <v>1</v>
      </c>
      <c r="AM242" s="115">
        <f t="shared" si="79"/>
        <v>4200000</v>
      </c>
      <c r="AN242" s="20"/>
    </row>
    <row r="243" spans="7:44">
      <c r="G243" s="210" t="s">
        <v>5711</v>
      </c>
      <c r="H243" s="111">
        <v>8738896.6890719999</v>
      </c>
      <c r="Q243" s="97" t="s">
        <v>4438</v>
      </c>
      <c r="R243" s="93">
        <v>1400000</v>
      </c>
      <c r="T243" s="210" t="s">
        <v>4977</v>
      </c>
      <c r="U243" s="210">
        <v>-57212</v>
      </c>
      <c r="V243" s="111">
        <v>368.45400000000001</v>
      </c>
      <c r="W243" s="111">
        <f t="shared" si="69"/>
        <v>-21079990.248</v>
      </c>
      <c r="X243" s="97" t="s">
        <v>452</v>
      </c>
      <c r="AH243" s="97"/>
      <c r="AI243" s="111" t="s">
        <v>25</v>
      </c>
      <c r="AJ243" s="111">
        <v>0</v>
      </c>
      <c r="AK243" s="97">
        <v>0</v>
      </c>
      <c r="AL243" s="20">
        <f t="shared" si="78"/>
        <v>0</v>
      </c>
      <c r="AM243" s="115">
        <f t="shared" si="79"/>
        <v>0</v>
      </c>
      <c r="AN243" s="20"/>
    </row>
    <row r="244" spans="7:44">
      <c r="G244" s="210" t="s">
        <v>4187</v>
      </c>
      <c r="H244" s="111">
        <v>348201.66738</v>
      </c>
      <c r="J244" t="s">
        <v>25</v>
      </c>
      <c r="O244" t="s">
        <v>25</v>
      </c>
      <c r="Q244" s="97" t="s">
        <v>4210</v>
      </c>
      <c r="R244" s="93">
        <v>247393</v>
      </c>
      <c r="S244" t="s">
        <v>25</v>
      </c>
      <c r="T244" s="210" t="s">
        <v>4978</v>
      </c>
      <c r="U244" s="210">
        <v>-15881</v>
      </c>
      <c r="V244" s="111">
        <v>374.61599999999999</v>
      </c>
      <c r="W244" s="111">
        <f t="shared" si="69"/>
        <v>-5949276.6959999995</v>
      </c>
      <c r="X244" s="97" t="s">
        <v>452</v>
      </c>
      <c r="AH244" s="97"/>
      <c r="AI244" s="111"/>
      <c r="AJ244" s="111">
        <v>0</v>
      </c>
      <c r="AK244" s="97">
        <v>0</v>
      </c>
      <c r="AL244" s="20">
        <f t="shared" si="78"/>
        <v>0</v>
      </c>
      <c r="AM244" s="115">
        <f t="shared" si="79"/>
        <v>0</v>
      </c>
      <c r="AN244" s="20"/>
      <c r="AP244" t="s">
        <v>25</v>
      </c>
    </row>
    <row r="245" spans="7:44">
      <c r="G245" s="210" t="s">
        <v>5713</v>
      </c>
      <c r="H245" s="111">
        <v>4158090.8935679998</v>
      </c>
      <c r="J245" t="s">
        <v>25</v>
      </c>
      <c r="Q245" s="97" t="s">
        <v>4209</v>
      </c>
      <c r="R245" s="93">
        <v>6780000</v>
      </c>
      <c r="T245" s="210" t="s">
        <v>4984</v>
      </c>
      <c r="U245" s="210">
        <v>-41289</v>
      </c>
      <c r="V245" s="111">
        <v>372.27</v>
      </c>
      <c r="W245" s="111">
        <f t="shared" si="69"/>
        <v>-15370656.029999999</v>
      </c>
      <c r="X245" s="97" t="s">
        <v>452</v>
      </c>
      <c r="AH245" s="97"/>
      <c r="AI245" s="111"/>
      <c r="AJ245" s="111">
        <v>0</v>
      </c>
      <c r="AK245" s="97">
        <v>0</v>
      </c>
      <c r="AL245" s="20">
        <f t="shared" si="78"/>
        <v>0</v>
      </c>
      <c r="AM245" s="115">
        <f t="shared" si="79"/>
        <v>0</v>
      </c>
      <c r="AN245" s="20"/>
    </row>
    <row r="246" spans="7:44">
      <c r="G246" s="210" t="s">
        <v>5718</v>
      </c>
      <c r="H246" s="111">
        <v>110770524.97879399</v>
      </c>
      <c r="Q246" s="97" t="s">
        <v>4540</v>
      </c>
      <c r="R246" s="93">
        <v>-4000000</v>
      </c>
      <c r="T246" s="210" t="s">
        <v>4990</v>
      </c>
      <c r="U246" s="210">
        <v>13563</v>
      </c>
      <c r="V246" s="111">
        <v>365.69799999999998</v>
      </c>
      <c r="W246" s="111">
        <f t="shared" si="69"/>
        <v>4959961.9739999995</v>
      </c>
      <c r="X246" s="97" t="s">
        <v>452</v>
      </c>
      <c r="AH246" s="97"/>
      <c r="AI246" s="111"/>
      <c r="AJ246" s="111">
        <v>0</v>
      </c>
      <c r="AK246" s="97">
        <v>0</v>
      </c>
      <c r="AL246" s="20">
        <f t="shared" si="78"/>
        <v>0</v>
      </c>
      <c r="AM246" s="115">
        <f t="shared" si="79"/>
        <v>0</v>
      </c>
      <c r="AN246" s="20"/>
    </row>
    <row r="247" spans="7:44">
      <c r="G247" s="210" t="s">
        <v>5735</v>
      </c>
      <c r="H247" s="111">
        <v>6684147.0064600008</v>
      </c>
      <c r="Q247" s="97" t="s">
        <v>4566</v>
      </c>
      <c r="R247" s="93">
        <v>16727037</v>
      </c>
      <c r="T247" s="210" t="s">
        <v>4990</v>
      </c>
      <c r="U247" s="210">
        <v>27344</v>
      </c>
      <c r="V247" s="111">
        <v>365.69799999999998</v>
      </c>
      <c r="W247" s="111">
        <f t="shared" si="69"/>
        <v>9999646.1119999997</v>
      </c>
      <c r="X247" s="97" t="s">
        <v>452</v>
      </c>
      <c r="AH247" s="97"/>
      <c r="AI247" s="111"/>
      <c r="AJ247" s="111">
        <v>0</v>
      </c>
      <c r="AK247" s="97">
        <v>0</v>
      </c>
      <c r="AL247" s="20">
        <f>AL248+AK247</f>
        <v>0</v>
      </c>
      <c r="AM247" s="115">
        <f t="shared" si="79"/>
        <v>0</v>
      </c>
      <c r="AN247" s="20"/>
    </row>
    <row r="248" spans="7:44" ht="30">
      <c r="G248" s="210" t="s">
        <v>5740</v>
      </c>
      <c r="H248" s="111">
        <v>1826535.2307560001</v>
      </c>
      <c r="K248" t="s">
        <v>25</v>
      </c>
      <c r="P248" t="s">
        <v>25</v>
      </c>
      <c r="Q248" s="97" t="s">
        <v>4571</v>
      </c>
      <c r="R248" s="93">
        <v>46460683</v>
      </c>
      <c r="S248" t="s">
        <v>25</v>
      </c>
      <c r="T248" s="210" t="s">
        <v>4997</v>
      </c>
      <c r="U248" s="210">
        <v>-103145</v>
      </c>
      <c r="V248" s="111">
        <v>393.334</v>
      </c>
      <c r="W248" s="111">
        <f t="shared" si="69"/>
        <v>-40570435.43</v>
      </c>
      <c r="X248" s="36" t="s">
        <v>5002</v>
      </c>
      <c r="AH248" s="97"/>
      <c r="AI248" s="111"/>
      <c r="AJ248" s="111">
        <v>0</v>
      </c>
      <c r="AK248" s="97"/>
      <c r="AL248" s="20">
        <f t="shared" si="78"/>
        <v>0</v>
      </c>
      <c r="AM248" s="115">
        <f t="shared" si="79"/>
        <v>0</v>
      </c>
      <c r="AN248" s="20"/>
    </row>
    <row r="249" spans="7:44">
      <c r="G249" s="210" t="s">
        <v>5744</v>
      </c>
      <c r="H249" s="111">
        <v>3577366.94</v>
      </c>
      <c r="Q249" s="97" t="s">
        <v>4572</v>
      </c>
      <c r="R249" s="93">
        <v>19663646</v>
      </c>
      <c r="T249" s="210" t="s">
        <v>4997</v>
      </c>
      <c r="U249" s="210">
        <v>-369</v>
      </c>
      <c r="V249" s="111">
        <v>393.334</v>
      </c>
      <c r="W249" s="111">
        <f t="shared" si="69"/>
        <v>-145140.24600000001</v>
      </c>
      <c r="X249" s="36" t="s">
        <v>5076</v>
      </c>
      <c r="AH249" s="97"/>
      <c r="AI249" s="111"/>
      <c r="AJ249" s="111"/>
      <c r="AK249" s="97">
        <v>0</v>
      </c>
      <c r="AL249" s="20">
        <f t="shared" si="78"/>
        <v>0</v>
      </c>
      <c r="AM249" s="115">
        <f t="shared" si="79"/>
        <v>0</v>
      </c>
      <c r="AN249" s="20"/>
      <c r="AP249" t="s">
        <v>25</v>
      </c>
    </row>
    <row r="250" spans="7:44">
      <c r="G250" s="210" t="s">
        <v>5746</v>
      </c>
      <c r="H250" s="111">
        <v>21239029.173567999</v>
      </c>
      <c r="J250" t="s">
        <v>25</v>
      </c>
      <c r="Q250" s="97" t="s">
        <v>4595</v>
      </c>
      <c r="R250" s="93">
        <v>4374525</v>
      </c>
      <c r="T250" s="210" t="s">
        <v>4997</v>
      </c>
      <c r="U250" s="210">
        <v>-889</v>
      </c>
      <c r="V250" s="111">
        <v>393.334</v>
      </c>
      <c r="W250" s="111">
        <f t="shared" si="69"/>
        <v>-349673.92599999998</v>
      </c>
      <c r="X250" s="36" t="s">
        <v>5077</v>
      </c>
      <c r="AH250" s="97"/>
      <c r="AI250" s="97"/>
      <c r="AJ250" s="93">
        <f>SUM(AJ20:AJ249)</f>
        <v>485915751</v>
      </c>
      <c r="AK250" s="97"/>
      <c r="AL250" s="97">
        <v>0</v>
      </c>
      <c r="AM250" s="93">
        <f>SUM(AM20:AM249)</f>
        <v>354902619443</v>
      </c>
      <c r="AN250" s="93">
        <f>AM250*AN253/31</f>
        <v>190811676.07278973</v>
      </c>
    </row>
    <row r="251" spans="7:44">
      <c r="G251" s="210" t="s">
        <v>5751</v>
      </c>
      <c r="H251" s="111">
        <v>242957252.40163299</v>
      </c>
      <c r="Q251" s="97" t="s">
        <v>4606</v>
      </c>
      <c r="R251" s="93">
        <v>6550580</v>
      </c>
      <c r="T251" s="210" t="s">
        <v>5006</v>
      </c>
      <c r="U251" s="210">
        <v>2546</v>
      </c>
      <c r="V251" s="111">
        <v>393</v>
      </c>
      <c r="W251" s="111">
        <f t="shared" si="69"/>
        <v>1000578</v>
      </c>
      <c r="X251" s="36" t="s">
        <v>452</v>
      </c>
      <c r="AH251" s="97"/>
      <c r="AI251" s="97"/>
      <c r="AJ251" s="97" t="s">
        <v>4043</v>
      </c>
      <c r="AK251" s="97"/>
      <c r="AL251" s="97"/>
      <c r="AM251" s="97" t="s">
        <v>284</v>
      </c>
      <c r="AN251" s="97" t="s">
        <v>928</v>
      </c>
    </row>
    <row r="252" spans="7:44">
      <c r="G252" s="210" t="s">
        <v>5756</v>
      </c>
      <c r="H252" s="111">
        <v>7357181.2750800001</v>
      </c>
      <c r="J252" t="s">
        <v>25</v>
      </c>
      <c r="Q252" s="97" t="s">
        <v>4608</v>
      </c>
      <c r="R252" s="93">
        <v>6650895</v>
      </c>
      <c r="T252" s="210" t="s">
        <v>5007</v>
      </c>
      <c r="U252" s="210">
        <v>1034</v>
      </c>
      <c r="V252" s="111">
        <v>386.608</v>
      </c>
      <c r="W252" s="111">
        <f t="shared" si="69"/>
        <v>399752.67200000002</v>
      </c>
      <c r="X252" s="36" t="s">
        <v>452</v>
      </c>
      <c r="AH252" s="97"/>
      <c r="AI252" s="97"/>
      <c r="AJ252" s="97"/>
      <c r="AK252" s="97"/>
      <c r="AL252" s="97"/>
      <c r="AM252" s="97"/>
      <c r="AN252" s="97"/>
    </row>
    <row r="253" spans="7:44">
      <c r="G253" s="210" t="s">
        <v>5760</v>
      </c>
      <c r="H253" s="111">
        <v>14951411.942400001</v>
      </c>
      <c r="Q253" s="97" t="s">
        <v>4625</v>
      </c>
      <c r="R253" s="93">
        <v>2145814</v>
      </c>
      <c r="T253" s="210" t="s">
        <v>5014</v>
      </c>
      <c r="U253" s="210">
        <v>300</v>
      </c>
      <c r="V253" s="111">
        <v>400</v>
      </c>
      <c r="W253" s="111">
        <f t="shared" si="69"/>
        <v>120000</v>
      </c>
      <c r="X253" s="36" t="s">
        <v>452</v>
      </c>
      <c r="AH253" s="97"/>
      <c r="AI253" s="97"/>
      <c r="AJ253" s="97"/>
      <c r="AK253" s="97"/>
      <c r="AL253" s="97"/>
      <c r="AM253" s="97" t="s">
        <v>4044</v>
      </c>
      <c r="AN253" s="97">
        <v>1.6667000000000001E-2</v>
      </c>
      <c r="AQ253" t="s">
        <v>25</v>
      </c>
    </row>
    <row r="254" spans="7:44">
      <c r="G254" s="210" t="s">
        <v>5764</v>
      </c>
      <c r="H254" s="111">
        <v>47928209.377011999</v>
      </c>
      <c r="Q254" s="97" t="s">
        <v>4636</v>
      </c>
      <c r="R254" s="93">
        <v>4369730</v>
      </c>
      <c r="T254" s="210" t="s">
        <v>5023</v>
      </c>
      <c r="U254" s="210">
        <v>782</v>
      </c>
      <c r="V254" s="111">
        <v>409</v>
      </c>
      <c r="W254" s="111">
        <f t="shared" si="69"/>
        <v>319838</v>
      </c>
      <c r="X254" s="36" t="s">
        <v>744</v>
      </c>
      <c r="AH254" s="97"/>
      <c r="AI254" s="97"/>
      <c r="AJ254" s="97"/>
      <c r="AK254" s="97"/>
      <c r="AL254" s="97"/>
      <c r="AM254" s="97"/>
      <c r="AN254" s="97"/>
    </row>
    <row r="255" spans="7:44">
      <c r="G255" s="210" t="s">
        <v>5767</v>
      </c>
      <c r="H255" s="111">
        <v>2281595.69937</v>
      </c>
      <c r="J255" t="s">
        <v>25</v>
      </c>
      <c r="Q255" s="97" t="s">
        <v>4638</v>
      </c>
      <c r="R255" s="93">
        <v>8739459</v>
      </c>
      <c r="S255" t="s">
        <v>25</v>
      </c>
      <c r="T255" s="210" t="s">
        <v>5027</v>
      </c>
      <c r="U255" s="210">
        <v>1220</v>
      </c>
      <c r="V255" s="111">
        <v>409.9</v>
      </c>
      <c r="W255" s="111">
        <f t="shared" si="69"/>
        <v>500078</v>
      </c>
      <c r="X255" s="36" t="s">
        <v>744</v>
      </c>
      <c r="AH255" s="97"/>
      <c r="AI255" s="97" t="s">
        <v>4045</v>
      </c>
      <c r="AJ255" s="93">
        <f>AJ250+AN250</f>
        <v>676727427.07278967</v>
      </c>
      <c r="AK255" s="97"/>
      <c r="AL255" s="97"/>
      <c r="AM255" s="97"/>
      <c r="AN255" s="97"/>
    </row>
    <row r="256" spans="7:44">
      <c r="G256" s="210" t="s">
        <v>5770</v>
      </c>
      <c r="H256" s="111">
        <v>2964916.035069</v>
      </c>
      <c r="Q256" s="97" t="s">
        <v>4647</v>
      </c>
      <c r="R256" s="93">
        <v>6667654</v>
      </c>
      <c r="T256" s="210" t="s">
        <v>5029</v>
      </c>
      <c r="U256" s="210">
        <v>1285</v>
      </c>
      <c r="V256" s="111">
        <v>388.84</v>
      </c>
      <c r="W256" s="111">
        <f t="shared" si="69"/>
        <v>499659.39999999997</v>
      </c>
      <c r="X256" s="36" t="s">
        <v>452</v>
      </c>
      <c r="AI256" t="s">
        <v>4048</v>
      </c>
      <c r="AJ256" s="112">
        <f>SUM(N39:N47)</f>
        <v>5217620844</v>
      </c>
      <c r="AM256" t="s">
        <v>25</v>
      </c>
    </row>
    <row r="257" spans="7:45">
      <c r="G257" s="210" t="s">
        <v>5772</v>
      </c>
      <c r="H257" s="111">
        <v>6460549.4269619994</v>
      </c>
      <c r="K257" t="s">
        <v>25</v>
      </c>
      <c r="Q257" s="97" t="s">
        <v>4655</v>
      </c>
      <c r="R257" s="93">
        <v>8981245</v>
      </c>
      <c r="T257" s="210" t="s">
        <v>5019</v>
      </c>
      <c r="U257" s="210">
        <v>1924</v>
      </c>
      <c r="V257" s="111">
        <v>386.69600000000003</v>
      </c>
      <c r="W257" s="111">
        <f t="shared" si="69"/>
        <v>744003.10400000005</v>
      </c>
      <c r="X257" s="36" t="s">
        <v>452</v>
      </c>
      <c r="AI257" t="s">
        <v>4120</v>
      </c>
      <c r="AJ257" s="112">
        <f>AJ256-AJ250</f>
        <v>4731705093</v>
      </c>
      <c r="AM257" t="s">
        <v>25</v>
      </c>
    </row>
    <row r="258" spans="7:45">
      <c r="G258" s="210" t="s">
        <v>5776</v>
      </c>
      <c r="H258" s="111">
        <v>5212319.8968359996</v>
      </c>
      <c r="Q258" s="97" t="s">
        <v>4659</v>
      </c>
      <c r="R258" s="93">
        <v>9181756</v>
      </c>
      <c r="T258" s="210" t="s">
        <v>5045</v>
      </c>
      <c r="U258" s="210">
        <v>165</v>
      </c>
      <c r="V258" s="111">
        <v>393.5</v>
      </c>
      <c r="W258" s="111">
        <f t="shared" si="69"/>
        <v>64927.5</v>
      </c>
      <c r="X258" s="36" t="s">
        <v>452</v>
      </c>
      <c r="AI258" t="s">
        <v>928</v>
      </c>
      <c r="AJ258" s="112">
        <f>AN250</f>
        <v>190811676.07278973</v>
      </c>
      <c r="AN258" t="s">
        <v>25</v>
      </c>
    </row>
    <row r="259" spans="7:45" ht="15" customHeight="1">
      <c r="G259" s="210" t="s">
        <v>5782</v>
      </c>
      <c r="H259" s="111">
        <v>4524496.4792809999</v>
      </c>
      <c r="Q259" s="97" t="s">
        <v>4662</v>
      </c>
      <c r="R259" s="93">
        <v>11811208</v>
      </c>
      <c r="S259" t="s">
        <v>25</v>
      </c>
      <c r="T259" s="210" t="s">
        <v>5051</v>
      </c>
      <c r="U259" s="210">
        <v>-34859</v>
      </c>
      <c r="V259" s="111">
        <v>403.1585</v>
      </c>
      <c r="W259" s="111">
        <f t="shared" si="69"/>
        <v>-14053702.1515</v>
      </c>
      <c r="X259" s="36" t="s">
        <v>5054</v>
      </c>
      <c r="AI259" t="s">
        <v>4049</v>
      </c>
      <c r="AJ259" s="112">
        <f>AJ256-AJ255</f>
        <v>4540893416.9272099</v>
      </c>
      <c r="AN259" t="s">
        <v>25</v>
      </c>
    </row>
    <row r="260" spans="7:45">
      <c r="G260" s="210" t="s">
        <v>5784</v>
      </c>
      <c r="H260" s="111">
        <v>22866040.240959998</v>
      </c>
      <c r="Q260" s="97" t="s">
        <v>4676</v>
      </c>
      <c r="R260" s="93">
        <v>41248054</v>
      </c>
      <c r="S260" t="s">
        <v>25</v>
      </c>
      <c r="T260" s="210" t="s">
        <v>5020</v>
      </c>
      <c r="U260" s="210">
        <v>8476</v>
      </c>
      <c r="V260" s="111">
        <v>419.49900000000002</v>
      </c>
      <c r="W260" s="111">
        <f t="shared" si="69"/>
        <v>3555673.5240000002</v>
      </c>
      <c r="X260" s="36" t="s">
        <v>5060</v>
      </c>
      <c r="AM260" t="s">
        <v>25</v>
      </c>
    </row>
    <row r="261" spans="7:45">
      <c r="G261" s="210" t="s">
        <v>5786</v>
      </c>
      <c r="H261" s="111">
        <v>15359304.269892</v>
      </c>
      <c r="Q261" s="97" t="s">
        <v>4683</v>
      </c>
      <c r="R261" s="93">
        <v>37328780</v>
      </c>
      <c r="T261" s="210" t="s">
        <v>5072</v>
      </c>
      <c r="U261" s="210">
        <v>903</v>
      </c>
      <c r="V261" s="111">
        <v>442.77379999999999</v>
      </c>
      <c r="W261" s="111">
        <f t="shared" si="69"/>
        <v>399824.7414</v>
      </c>
      <c r="X261" s="36" t="s">
        <v>744</v>
      </c>
      <c r="AJ261" t="s">
        <v>25</v>
      </c>
    </row>
    <row r="262" spans="7:45">
      <c r="G262" s="210" t="s">
        <v>5794</v>
      </c>
      <c r="H262" s="111">
        <v>2868508.1846330003</v>
      </c>
      <c r="Q262" s="97" t="s">
        <v>4764</v>
      </c>
      <c r="R262" s="93">
        <v>-2194100</v>
      </c>
      <c r="T262" s="210" t="s">
        <v>5075</v>
      </c>
      <c r="U262" s="210">
        <v>113</v>
      </c>
      <c r="V262" s="111">
        <v>442.48200000000003</v>
      </c>
      <c r="W262" s="111">
        <f t="shared" ref="W262:W351" si="80">U262*V262</f>
        <v>50000.466</v>
      </c>
      <c r="X262" s="36" t="s">
        <v>744</v>
      </c>
    </row>
    <row r="263" spans="7:45" ht="17.25" customHeight="1">
      <c r="G263" s="210" t="s">
        <v>5796</v>
      </c>
      <c r="H263" s="111">
        <v>17450393.011856001</v>
      </c>
      <c r="Q263" s="97" t="s">
        <v>4801</v>
      </c>
      <c r="R263" s="93">
        <v>20193916</v>
      </c>
      <c r="T263" s="210" t="s">
        <v>5085</v>
      </c>
      <c r="U263" s="210">
        <v>671</v>
      </c>
      <c r="V263" s="111">
        <v>447</v>
      </c>
      <c r="W263" s="111">
        <f t="shared" si="80"/>
        <v>299937</v>
      </c>
      <c r="X263" s="36" t="s">
        <v>744</v>
      </c>
    </row>
    <row r="264" spans="7:45">
      <c r="G264" s="210" t="s">
        <v>5798</v>
      </c>
      <c r="H264" s="111">
        <v>31388943.254850004</v>
      </c>
      <c r="Q264" s="97" t="s">
        <v>4872</v>
      </c>
      <c r="R264" s="93">
        <v>-2000000</v>
      </c>
      <c r="T264" s="210" t="s">
        <v>5087</v>
      </c>
      <c r="U264" s="210">
        <v>7</v>
      </c>
      <c r="V264" s="111">
        <v>465.31200000000001</v>
      </c>
      <c r="W264" s="111">
        <f t="shared" si="80"/>
        <v>3257.1840000000002</v>
      </c>
      <c r="X264" s="36" t="s">
        <v>452</v>
      </c>
    </row>
    <row r="265" spans="7:45">
      <c r="G265" s="210"/>
      <c r="H265" s="111">
        <v>30912095.373174001</v>
      </c>
      <c r="J265" t="s">
        <v>25</v>
      </c>
      <c r="Q265" s="97" t="s">
        <v>4936</v>
      </c>
      <c r="R265" s="93">
        <v>6800000</v>
      </c>
      <c r="S265" t="s">
        <v>25</v>
      </c>
      <c r="T265" s="210" t="s">
        <v>5093</v>
      </c>
      <c r="U265" s="210">
        <v>12950</v>
      </c>
      <c r="V265" s="111">
        <v>463.31599999999997</v>
      </c>
      <c r="W265" s="111">
        <f t="shared" si="80"/>
        <v>5999942.1999999993</v>
      </c>
      <c r="X265" s="36" t="s">
        <v>452</v>
      </c>
    </row>
    <row r="266" spans="7:45">
      <c r="G266" s="210"/>
      <c r="H266" s="111"/>
      <c r="J266" t="s">
        <v>25</v>
      </c>
      <c r="Q266" s="97" t="s">
        <v>4945</v>
      </c>
      <c r="R266" s="93">
        <v>850000</v>
      </c>
      <c r="T266" s="210" t="s">
        <v>5096</v>
      </c>
      <c r="U266" s="210">
        <v>37</v>
      </c>
      <c r="V266" s="111">
        <v>463.315</v>
      </c>
      <c r="W266" s="111">
        <f t="shared" si="80"/>
        <v>17142.654999999999</v>
      </c>
      <c r="X266" s="36" t="s">
        <v>452</v>
      </c>
      <c r="AH266" s="97" t="s">
        <v>3625</v>
      </c>
      <c r="AI266" s="97" t="s">
        <v>180</v>
      </c>
      <c r="AJ266" s="97" t="s">
        <v>267</v>
      </c>
      <c r="AK266" s="97" t="s">
        <v>4042</v>
      </c>
      <c r="AL266" s="97" t="s">
        <v>4034</v>
      </c>
      <c r="AM266" s="97" t="s">
        <v>282</v>
      </c>
      <c r="AN266" s="97" t="s">
        <v>4270</v>
      </c>
    </row>
    <row r="267" spans="7:45">
      <c r="G267" s="210"/>
      <c r="H267" s="111"/>
      <c r="Q267" s="97" t="s">
        <v>4954</v>
      </c>
      <c r="R267" s="93">
        <v>2290500</v>
      </c>
      <c r="T267" s="210" t="s">
        <v>5097</v>
      </c>
      <c r="U267" s="210">
        <v>19</v>
      </c>
      <c r="V267" s="111">
        <v>434.3</v>
      </c>
      <c r="W267" s="111">
        <f t="shared" si="80"/>
        <v>8251.7000000000007</v>
      </c>
      <c r="X267" s="36" t="s">
        <v>452</v>
      </c>
      <c r="Y267" t="s">
        <v>25</v>
      </c>
      <c r="AH267" s="97">
        <v>1</v>
      </c>
      <c r="AI267" s="97" t="s">
        <v>3933</v>
      </c>
      <c r="AJ267" s="115">
        <v>3555820</v>
      </c>
      <c r="AK267" s="97">
        <v>2</v>
      </c>
      <c r="AL267" s="97">
        <f>AK267+AL268</f>
        <v>801</v>
      </c>
      <c r="AM267" s="97">
        <f>AJ267*AL267</f>
        <v>2848211820</v>
      </c>
      <c r="AN267" s="97" t="s">
        <v>4288</v>
      </c>
      <c r="AS267" t="s">
        <v>25</v>
      </c>
    </row>
    <row r="268" spans="7:45">
      <c r="G268" s="210"/>
      <c r="H268" s="111"/>
      <c r="Q268" s="97" t="s">
        <v>4962</v>
      </c>
      <c r="R268" s="93">
        <v>400000</v>
      </c>
      <c r="S268" t="s">
        <v>25</v>
      </c>
      <c r="T268" s="210" t="s">
        <v>5099</v>
      </c>
      <c r="U268" s="210">
        <v>16</v>
      </c>
      <c r="V268" s="111">
        <v>439</v>
      </c>
      <c r="W268" s="111">
        <f t="shared" si="80"/>
        <v>7024</v>
      </c>
      <c r="X268" s="36" t="s">
        <v>452</v>
      </c>
      <c r="Y268" t="s">
        <v>25</v>
      </c>
      <c r="AH268" s="97">
        <v>2</v>
      </c>
      <c r="AI268" s="97" t="s">
        <v>4008</v>
      </c>
      <c r="AJ268" s="115">
        <v>1720837</v>
      </c>
      <c r="AK268" s="97">
        <v>51</v>
      </c>
      <c r="AL268" s="97">
        <f t="shared" ref="AL268:AL277" si="81">AK268+AL269</f>
        <v>799</v>
      </c>
      <c r="AM268" s="97">
        <f t="shared" ref="AM268:AM296" si="82">AJ268*AL268</f>
        <v>1374948763</v>
      </c>
      <c r="AN268" s="97" t="s">
        <v>4289</v>
      </c>
    </row>
    <row r="269" spans="7:45" ht="21.75" customHeight="1">
      <c r="G269" s="210"/>
      <c r="H269" s="111"/>
      <c r="Q269" s="97" t="s">
        <v>4969</v>
      </c>
      <c r="R269" s="93">
        <v>150000</v>
      </c>
      <c r="T269" s="210" t="s">
        <v>5099</v>
      </c>
      <c r="U269" s="210">
        <v>9191</v>
      </c>
      <c r="V269" s="111">
        <v>440.24630000000002</v>
      </c>
      <c r="W269" s="111">
        <f t="shared" si="80"/>
        <v>4046303.7433000002</v>
      </c>
      <c r="X269" s="36" t="s">
        <v>5100</v>
      </c>
      <c r="AH269" s="97">
        <v>3</v>
      </c>
      <c r="AI269" s="97" t="s">
        <v>4114</v>
      </c>
      <c r="AJ269" s="115">
        <v>150000</v>
      </c>
      <c r="AK269" s="97">
        <v>3</v>
      </c>
      <c r="AL269" s="97">
        <f t="shared" si="81"/>
        <v>748</v>
      </c>
      <c r="AM269" s="97">
        <f t="shared" si="82"/>
        <v>112200000</v>
      </c>
      <c r="AN269" s="97"/>
    </row>
    <row r="270" spans="7:45">
      <c r="G270" s="210"/>
      <c r="H270" s="111"/>
      <c r="Q270" s="97" t="s">
        <v>4997</v>
      </c>
      <c r="R270" s="93">
        <v>-144950</v>
      </c>
      <c r="T270" s="210" t="s">
        <v>5102</v>
      </c>
      <c r="U270" s="210">
        <v>-8792</v>
      </c>
      <c r="V270" s="111">
        <v>441.90665999999999</v>
      </c>
      <c r="W270" s="111">
        <f t="shared" si="80"/>
        <v>-3885243.3547199997</v>
      </c>
      <c r="X270" s="36" t="s">
        <v>5103</v>
      </c>
      <c r="AH270" s="97">
        <v>4</v>
      </c>
      <c r="AI270" s="97" t="s">
        <v>4129</v>
      </c>
      <c r="AJ270" s="115">
        <v>-95000</v>
      </c>
      <c r="AK270" s="97">
        <v>8</v>
      </c>
      <c r="AL270" s="97">
        <f t="shared" si="81"/>
        <v>745</v>
      </c>
      <c r="AM270" s="97">
        <f t="shared" si="82"/>
        <v>-70775000</v>
      </c>
      <c r="AN270" s="97"/>
    </row>
    <row r="271" spans="7:45">
      <c r="G271" s="210"/>
      <c r="H271" s="111"/>
      <c r="Q271" s="97" t="s">
        <v>5023</v>
      </c>
      <c r="R271" s="93">
        <v>320000</v>
      </c>
      <c r="T271" s="187" t="s">
        <v>5106</v>
      </c>
      <c r="U271" s="187">
        <v>24374</v>
      </c>
      <c r="V271" s="186">
        <v>471.81700000000001</v>
      </c>
      <c r="W271" s="186">
        <f t="shared" si="80"/>
        <v>11500067.558</v>
      </c>
      <c r="X271" s="275" t="s">
        <v>5109</v>
      </c>
      <c r="AH271" s="97">
        <v>5</v>
      </c>
      <c r="AI271" s="97" t="s">
        <v>4154</v>
      </c>
      <c r="AJ271" s="115">
        <v>3150000</v>
      </c>
      <c r="AK271" s="97">
        <v>16</v>
      </c>
      <c r="AL271" s="97">
        <f t="shared" si="81"/>
        <v>737</v>
      </c>
      <c r="AM271" s="97">
        <f t="shared" si="82"/>
        <v>2321550000</v>
      </c>
      <c r="AN271" s="97"/>
      <c r="AR271" t="s">
        <v>25</v>
      </c>
    </row>
    <row r="272" spans="7:45">
      <c r="G272" s="210"/>
      <c r="H272" s="111"/>
      <c r="Q272" s="97" t="s">
        <v>5027</v>
      </c>
      <c r="R272" s="93">
        <v>500000</v>
      </c>
      <c r="S272" t="s">
        <v>25</v>
      </c>
      <c r="T272" s="210" t="s">
        <v>5111</v>
      </c>
      <c r="U272" s="210">
        <v>530</v>
      </c>
      <c r="V272" s="111">
        <v>472</v>
      </c>
      <c r="W272" s="111">
        <f t="shared" si="80"/>
        <v>250160</v>
      </c>
      <c r="X272" s="36" t="s">
        <v>744</v>
      </c>
      <c r="AH272" s="97">
        <v>6</v>
      </c>
      <c r="AI272" s="97" t="s">
        <v>4219</v>
      </c>
      <c r="AJ272" s="115">
        <v>-65000</v>
      </c>
      <c r="AK272" s="97">
        <v>1</v>
      </c>
      <c r="AL272" s="97">
        <f t="shared" si="81"/>
        <v>721</v>
      </c>
      <c r="AM272" s="97">
        <f t="shared" si="82"/>
        <v>-46865000</v>
      </c>
      <c r="AN272" s="97"/>
    </row>
    <row r="273" spans="7:40" ht="30">
      <c r="G273" s="210" t="s">
        <v>5569</v>
      </c>
      <c r="H273" s="111">
        <v>-87000000</v>
      </c>
      <c r="Q273" s="97" t="s">
        <v>5072</v>
      </c>
      <c r="R273" s="93">
        <v>400000</v>
      </c>
      <c r="S273" t="s">
        <v>25</v>
      </c>
      <c r="T273" s="210" t="s">
        <v>5111</v>
      </c>
      <c r="U273" s="210">
        <v>12</v>
      </c>
      <c r="V273" s="111">
        <v>481.86</v>
      </c>
      <c r="W273" s="111">
        <f t="shared" si="80"/>
        <v>5782.32</v>
      </c>
      <c r="X273" s="36" t="s">
        <v>5113</v>
      </c>
      <c r="AH273" s="97">
        <v>7</v>
      </c>
      <c r="AI273" s="97" t="s">
        <v>4290</v>
      </c>
      <c r="AJ273" s="115">
        <v>-95000</v>
      </c>
      <c r="AK273" s="97">
        <v>6</v>
      </c>
      <c r="AL273" s="97">
        <f t="shared" si="81"/>
        <v>720</v>
      </c>
      <c r="AM273" s="97">
        <f t="shared" si="82"/>
        <v>-68400000</v>
      </c>
      <c r="AN273" s="97"/>
    </row>
    <row r="274" spans="7:40">
      <c r="G274" s="210"/>
      <c r="H274" s="111"/>
      <c r="Q274" s="97" t="s">
        <v>5075</v>
      </c>
      <c r="R274" s="93">
        <v>50000</v>
      </c>
      <c r="S274" t="s">
        <v>25</v>
      </c>
      <c r="T274" s="187" t="s">
        <v>5136</v>
      </c>
      <c r="U274" s="187">
        <v>12330</v>
      </c>
      <c r="V274" s="186">
        <v>486.63443869999998</v>
      </c>
      <c r="W274" s="186">
        <f t="shared" si="80"/>
        <v>6000202.6291709999</v>
      </c>
      <c r="X274" s="275" t="s">
        <v>5109</v>
      </c>
      <c r="AH274" s="97">
        <v>8</v>
      </c>
      <c r="AI274" s="97" t="s">
        <v>4291</v>
      </c>
      <c r="AJ274" s="115">
        <v>232000</v>
      </c>
      <c r="AK274" s="97">
        <v>7</v>
      </c>
      <c r="AL274" s="97">
        <f t="shared" si="81"/>
        <v>714</v>
      </c>
      <c r="AM274" s="97">
        <f t="shared" si="82"/>
        <v>165648000</v>
      </c>
      <c r="AN274" s="97"/>
    </row>
    <row r="275" spans="7:40">
      <c r="G275" s="210"/>
      <c r="H275" s="1"/>
      <c r="Q275" s="97" t="s">
        <v>5085</v>
      </c>
      <c r="R275" s="93">
        <v>300000</v>
      </c>
      <c r="T275" s="210" t="s">
        <v>5138</v>
      </c>
      <c r="U275" s="210">
        <v>846</v>
      </c>
      <c r="V275" s="111">
        <v>472.7</v>
      </c>
      <c r="W275" s="111">
        <f t="shared" si="80"/>
        <v>399904.2</v>
      </c>
      <c r="X275" s="36" t="s">
        <v>452</v>
      </c>
      <c r="AH275" s="97">
        <v>9</v>
      </c>
      <c r="AI275" s="97" t="s">
        <v>4269</v>
      </c>
      <c r="AJ275" s="115">
        <v>13000000</v>
      </c>
      <c r="AK275" s="97">
        <v>2</v>
      </c>
      <c r="AL275" s="97">
        <f t="shared" si="81"/>
        <v>707</v>
      </c>
      <c r="AM275" s="97">
        <f t="shared" si="82"/>
        <v>9191000000</v>
      </c>
      <c r="AN275" s="97"/>
    </row>
    <row r="276" spans="7:40">
      <c r="G276" s="210"/>
      <c r="H276" s="1"/>
      <c r="O276" t="s">
        <v>25</v>
      </c>
      <c r="Q276" s="97" t="s">
        <v>5111</v>
      </c>
      <c r="R276" s="93">
        <v>250000</v>
      </c>
      <c r="T276" s="187" t="s">
        <v>5138</v>
      </c>
      <c r="U276" s="187">
        <v>3173</v>
      </c>
      <c r="V276" s="186">
        <v>472.7</v>
      </c>
      <c r="W276" s="186">
        <f t="shared" si="80"/>
        <v>1499877.0999999999</v>
      </c>
      <c r="X276" s="275" t="s">
        <v>5267</v>
      </c>
      <c r="AH276" s="97">
        <v>10</v>
      </c>
      <c r="AI276" s="97" t="s">
        <v>4292</v>
      </c>
      <c r="AJ276" s="115">
        <v>10000000</v>
      </c>
      <c r="AK276" s="97">
        <v>3</v>
      </c>
      <c r="AL276" s="97">
        <f t="shared" si="81"/>
        <v>705</v>
      </c>
      <c r="AM276" s="97">
        <f t="shared" si="82"/>
        <v>7050000000</v>
      </c>
      <c r="AN276" s="97"/>
    </row>
    <row r="277" spans="7:40">
      <c r="G277" s="210"/>
      <c r="H277" s="1"/>
      <c r="Q277" s="97" t="s">
        <v>5146</v>
      </c>
      <c r="R277" s="93">
        <v>200000</v>
      </c>
      <c r="T277" s="210" t="s">
        <v>5142</v>
      </c>
      <c r="U277" s="210">
        <v>191</v>
      </c>
      <c r="V277" s="111">
        <v>484.572</v>
      </c>
      <c r="W277" s="111">
        <f t="shared" si="80"/>
        <v>92553.252000000008</v>
      </c>
      <c r="X277" s="36" t="s">
        <v>5143</v>
      </c>
      <c r="AH277" s="97">
        <v>11</v>
      </c>
      <c r="AI277" s="97" t="s">
        <v>4281</v>
      </c>
      <c r="AJ277" s="115">
        <v>3400000</v>
      </c>
      <c r="AK277" s="97">
        <v>9</v>
      </c>
      <c r="AL277" s="97">
        <f t="shared" si="81"/>
        <v>702</v>
      </c>
      <c r="AM277" s="97">
        <f t="shared" si="82"/>
        <v>2386800000</v>
      </c>
      <c r="AN277" s="97"/>
    </row>
    <row r="278" spans="7:40">
      <c r="G278" s="210" t="s">
        <v>6</v>
      </c>
      <c r="H278" s="1">
        <f>SUM(H201:H277)</f>
        <v>1060474285.181468</v>
      </c>
      <c r="Q278" s="97" t="s">
        <v>5179</v>
      </c>
      <c r="R278" s="93">
        <v>122000</v>
      </c>
      <c r="T278" s="210" t="s">
        <v>5142</v>
      </c>
      <c r="U278" s="210">
        <v>-206</v>
      </c>
      <c r="V278" s="111">
        <v>484.572</v>
      </c>
      <c r="W278" s="111">
        <f t="shared" si="80"/>
        <v>-99821.831999999995</v>
      </c>
      <c r="X278" s="36" t="s">
        <v>5145</v>
      </c>
      <c r="AH278" s="97">
        <v>12</v>
      </c>
      <c r="AI278" s="97" t="s">
        <v>4318</v>
      </c>
      <c r="AJ278" s="115">
        <v>-8736514</v>
      </c>
      <c r="AK278" s="97">
        <v>1</v>
      </c>
      <c r="AL278" s="97">
        <f>AK278+AL279</f>
        <v>693</v>
      </c>
      <c r="AM278" s="97">
        <f t="shared" si="82"/>
        <v>-6054404202</v>
      </c>
      <c r="AN278" s="97"/>
    </row>
    <row r="279" spans="7:40">
      <c r="G279" s="321"/>
      <c r="H279" s="1"/>
      <c r="Q279" s="97" t="s">
        <v>5187</v>
      </c>
      <c r="R279" s="93">
        <v>200000</v>
      </c>
      <c r="S279" t="s">
        <v>25</v>
      </c>
      <c r="T279" s="210" t="s">
        <v>5146</v>
      </c>
      <c r="U279" s="210">
        <v>20685</v>
      </c>
      <c r="V279" s="111">
        <v>483.43312200000003</v>
      </c>
      <c r="W279" s="111">
        <f t="shared" si="80"/>
        <v>9999814.1285699997</v>
      </c>
      <c r="X279" s="36" t="s">
        <v>5148</v>
      </c>
      <c r="AH279" s="97">
        <v>13</v>
      </c>
      <c r="AI279" s="97" t="s">
        <v>4319</v>
      </c>
      <c r="AJ279" s="115">
        <v>555000</v>
      </c>
      <c r="AK279" s="97">
        <v>5</v>
      </c>
      <c r="AL279" s="97">
        <f t="shared" ref="AL279:AL295" si="83">AK279+AL280</f>
        <v>692</v>
      </c>
      <c r="AM279" s="97">
        <f t="shared" si="82"/>
        <v>384060000</v>
      </c>
      <c r="AN279" s="97"/>
    </row>
    <row r="280" spans="7:40">
      <c r="Q280" s="97" t="s">
        <v>5197</v>
      </c>
      <c r="R280" s="93">
        <v>60000</v>
      </c>
      <c r="T280" s="210" t="s">
        <v>5146</v>
      </c>
      <c r="U280" s="210">
        <v>-413</v>
      </c>
      <c r="V280" s="111">
        <v>483.40199999999999</v>
      </c>
      <c r="W280" s="111">
        <f t="shared" si="80"/>
        <v>-199645.02599999998</v>
      </c>
      <c r="X280" s="36" t="s">
        <v>4411</v>
      </c>
      <c r="AH280" s="97">
        <v>14</v>
      </c>
      <c r="AI280" s="97" t="s">
        <v>4343</v>
      </c>
      <c r="AJ280" s="115">
        <v>-448308</v>
      </c>
      <c r="AK280" s="97">
        <v>6</v>
      </c>
      <c r="AL280" s="97">
        <f t="shared" si="83"/>
        <v>687</v>
      </c>
      <c r="AM280" s="97">
        <f t="shared" si="82"/>
        <v>-307987596</v>
      </c>
      <c r="AN280" s="97"/>
    </row>
    <row r="281" spans="7:40">
      <c r="Q281" s="97" t="s">
        <v>5257</v>
      </c>
      <c r="R281" s="93">
        <v>-200000</v>
      </c>
      <c r="S281" t="s">
        <v>25</v>
      </c>
      <c r="T281" s="210" t="s">
        <v>5146</v>
      </c>
      <c r="U281" s="210">
        <v>413</v>
      </c>
      <c r="V281" s="111">
        <v>483.40199999999999</v>
      </c>
      <c r="W281" s="111">
        <f t="shared" si="80"/>
        <v>199645.02599999998</v>
      </c>
      <c r="X281" s="36" t="s">
        <v>744</v>
      </c>
      <c r="AH281" s="97">
        <v>15</v>
      </c>
      <c r="AI281" s="97" t="s">
        <v>4370</v>
      </c>
      <c r="AJ281" s="115">
        <v>33225</v>
      </c>
      <c r="AK281" s="97">
        <v>0</v>
      </c>
      <c r="AL281" s="97">
        <f t="shared" si="83"/>
        <v>681</v>
      </c>
      <c r="AM281" s="97">
        <f t="shared" si="82"/>
        <v>22626225</v>
      </c>
      <c r="AN281" s="97"/>
    </row>
    <row r="282" spans="7:40">
      <c r="G282" s="94"/>
      <c r="H282" s="9" t="s">
        <v>452</v>
      </c>
      <c r="Q282" s="97" t="s">
        <v>5330</v>
      </c>
      <c r="R282" s="93">
        <v>-9000000</v>
      </c>
      <c r="T282" s="210" t="s">
        <v>5151</v>
      </c>
      <c r="U282" s="210">
        <v>-828</v>
      </c>
      <c r="V282" s="111">
        <v>483.43312200000003</v>
      </c>
      <c r="W282" s="111">
        <f t="shared" si="80"/>
        <v>-400282.62501600001</v>
      </c>
      <c r="X282" s="36" t="s">
        <v>452</v>
      </c>
      <c r="AH282" s="147">
        <v>16</v>
      </c>
      <c r="AI282" s="147" t="s">
        <v>4370</v>
      </c>
      <c r="AJ282" s="186">
        <v>4098523</v>
      </c>
      <c r="AK282" s="147">
        <v>2</v>
      </c>
      <c r="AL282" s="147">
        <f t="shared" si="83"/>
        <v>681</v>
      </c>
      <c r="AM282" s="147">
        <f t="shared" si="82"/>
        <v>2791094163</v>
      </c>
      <c r="AN282" s="147" t="s">
        <v>650</v>
      </c>
    </row>
    <row r="283" spans="7:40">
      <c r="G283" s="94"/>
      <c r="H283" s="9" t="s">
        <v>744</v>
      </c>
      <c r="Q283" s="97" t="s">
        <v>5394</v>
      </c>
      <c r="R283" s="93">
        <v>-26000000</v>
      </c>
      <c r="T283" s="210" t="s">
        <v>5154</v>
      </c>
      <c r="U283" s="210">
        <v>12</v>
      </c>
      <c r="V283" s="111">
        <v>473.61898300000001</v>
      </c>
      <c r="W283" s="111">
        <f t="shared" si="80"/>
        <v>5683.4277959999999</v>
      </c>
      <c r="X283" s="36" t="s">
        <v>452</v>
      </c>
      <c r="Y283" t="s">
        <v>25</v>
      </c>
      <c r="AH283" s="147">
        <v>17</v>
      </c>
      <c r="AI283" s="147" t="s">
        <v>4381</v>
      </c>
      <c r="AJ283" s="186">
        <v>-1000000</v>
      </c>
      <c r="AK283" s="147">
        <v>7</v>
      </c>
      <c r="AL283" s="147">
        <f t="shared" si="83"/>
        <v>679</v>
      </c>
      <c r="AM283" s="147">
        <f t="shared" si="82"/>
        <v>-679000000</v>
      </c>
      <c r="AN283" s="147" t="s">
        <v>650</v>
      </c>
    </row>
    <row r="284" spans="7:40">
      <c r="G284" s="94"/>
      <c r="H284" s="9" t="s">
        <v>5487</v>
      </c>
      <c r="O284" t="s">
        <v>25</v>
      </c>
      <c r="Q284" s="97" t="s">
        <v>5399</v>
      </c>
      <c r="R284" s="93">
        <v>-95900000</v>
      </c>
      <c r="T284" s="210" t="s">
        <v>5157</v>
      </c>
      <c r="U284" s="210">
        <v>963</v>
      </c>
      <c r="V284" s="111">
        <v>477.92200000000003</v>
      </c>
      <c r="W284" s="111">
        <f t="shared" si="80"/>
        <v>460238.886</v>
      </c>
      <c r="X284" s="36" t="s">
        <v>452</v>
      </c>
      <c r="AH284" s="147">
        <v>18</v>
      </c>
      <c r="AI284" s="147" t="s">
        <v>4401</v>
      </c>
      <c r="AJ284" s="186">
        <v>750000</v>
      </c>
      <c r="AK284" s="147">
        <v>1</v>
      </c>
      <c r="AL284" s="147">
        <f t="shared" si="83"/>
        <v>672</v>
      </c>
      <c r="AM284" s="147">
        <f t="shared" si="82"/>
        <v>504000000</v>
      </c>
      <c r="AN284" s="147" t="s">
        <v>650</v>
      </c>
    </row>
    <row r="285" spans="7:40">
      <c r="G285" s="94"/>
      <c r="H285" s="9" t="s">
        <v>1071</v>
      </c>
      <c r="Q285" s="97" t="s">
        <v>5400</v>
      </c>
      <c r="R285" s="93">
        <v>-28950000</v>
      </c>
      <c r="S285" t="s">
        <v>25</v>
      </c>
      <c r="T285" s="210" t="s">
        <v>5158</v>
      </c>
      <c r="U285" s="210">
        <v>2815</v>
      </c>
      <c r="V285" s="111">
        <v>461.79</v>
      </c>
      <c r="W285" s="111">
        <f t="shared" si="80"/>
        <v>1299938.8500000001</v>
      </c>
      <c r="X285" s="36" t="s">
        <v>452</v>
      </c>
      <c r="AH285" s="193">
        <v>19</v>
      </c>
      <c r="AI285" s="193" t="s">
        <v>4402</v>
      </c>
      <c r="AJ285" s="194">
        <v>-604152</v>
      </c>
      <c r="AK285" s="193">
        <v>0</v>
      </c>
      <c r="AL285" s="193">
        <f t="shared" si="83"/>
        <v>671</v>
      </c>
      <c r="AM285" s="193">
        <f t="shared" si="82"/>
        <v>-405385992</v>
      </c>
      <c r="AN285" s="193" t="s">
        <v>650</v>
      </c>
    </row>
    <row r="286" spans="7:40">
      <c r="H286" s="9" t="s">
        <v>5411</v>
      </c>
      <c r="Q286" s="97" t="s">
        <v>5577</v>
      </c>
      <c r="R286" s="93">
        <v>-93000000</v>
      </c>
      <c r="S286" t="s">
        <v>25</v>
      </c>
      <c r="T286" s="210" t="s">
        <v>5158</v>
      </c>
      <c r="U286" s="210">
        <v>1581</v>
      </c>
      <c r="V286" s="111">
        <v>461.79</v>
      </c>
      <c r="W286" s="111">
        <f t="shared" si="80"/>
        <v>730089.99</v>
      </c>
      <c r="X286" s="36" t="s">
        <v>452</v>
      </c>
      <c r="AH286" s="97">
        <v>20</v>
      </c>
      <c r="AI286" s="97" t="s">
        <v>4403</v>
      </c>
      <c r="AJ286" s="115">
        <v>-587083</v>
      </c>
      <c r="AK286" s="97">
        <v>4</v>
      </c>
      <c r="AL286" s="97">
        <f t="shared" si="83"/>
        <v>671</v>
      </c>
      <c r="AM286" s="97">
        <f t="shared" si="82"/>
        <v>-393932693</v>
      </c>
      <c r="AN286" s="97"/>
    </row>
    <row r="287" spans="7:40">
      <c r="H287" s="9" t="s">
        <v>5611</v>
      </c>
      <c r="Q287" s="97" t="s">
        <v>5589</v>
      </c>
      <c r="R287" s="93">
        <v>50000000</v>
      </c>
      <c r="T287" s="187" t="s">
        <v>5165</v>
      </c>
      <c r="U287" s="187">
        <v>1916</v>
      </c>
      <c r="V287" s="186">
        <v>521.70000000000005</v>
      </c>
      <c r="W287" s="186">
        <f t="shared" si="80"/>
        <v>999577.20000000007</v>
      </c>
      <c r="X287" s="275" t="s">
        <v>5267</v>
      </c>
      <c r="AH287" s="193">
        <v>21</v>
      </c>
      <c r="AI287" s="193" t="s">
        <v>4404</v>
      </c>
      <c r="AJ287" s="194">
        <v>-754351</v>
      </c>
      <c r="AK287" s="193">
        <v>0</v>
      </c>
      <c r="AL287" s="147">
        <f t="shared" si="83"/>
        <v>667</v>
      </c>
      <c r="AM287" s="193">
        <f t="shared" si="82"/>
        <v>-503152117</v>
      </c>
      <c r="AN287" s="193" t="s">
        <v>650</v>
      </c>
    </row>
    <row r="288" spans="7:40">
      <c r="H288" s="324" t="s">
        <v>5612</v>
      </c>
      <c r="Q288" s="97" t="s">
        <v>4214</v>
      </c>
      <c r="R288" s="93">
        <v>2749471.1668000002</v>
      </c>
      <c r="T288" s="210" t="s">
        <v>977</v>
      </c>
      <c r="U288" s="210">
        <v>41</v>
      </c>
      <c r="V288" s="111">
        <v>514.48099999999999</v>
      </c>
      <c r="W288" s="111">
        <f t="shared" si="80"/>
        <v>21093.721000000001</v>
      </c>
      <c r="X288" s="36" t="s">
        <v>5143</v>
      </c>
      <c r="AH288" s="97">
        <v>22</v>
      </c>
      <c r="AI288" s="97" t="s">
        <v>4404</v>
      </c>
      <c r="AJ288" s="115">
        <v>-189619</v>
      </c>
      <c r="AK288" s="97">
        <v>15</v>
      </c>
      <c r="AL288" s="97">
        <f t="shared" si="83"/>
        <v>667</v>
      </c>
      <c r="AM288" s="97">
        <f t="shared" si="82"/>
        <v>-126475873</v>
      </c>
      <c r="AN288" s="97"/>
    </row>
    <row r="289" spans="8:44">
      <c r="H289" s="324" t="s">
        <v>744</v>
      </c>
      <c r="Q289" s="97" t="s">
        <v>5690</v>
      </c>
      <c r="R289" s="93">
        <v>-680940.07019999996</v>
      </c>
      <c r="T289" s="210" t="s">
        <v>4258</v>
      </c>
      <c r="U289" s="210">
        <v>71</v>
      </c>
      <c r="V289" s="111">
        <v>482.57</v>
      </c>
      <c r="W289" s="111">
        <f t="shared" si="80"/>
        <v>34262.47</v>
      </c>
      <c r="X289" s="36" t="s">
        <v>5143</v>
      </c>
      <c r="Y289" t="s">
        <v>25</v>
      </c>
      <c r="AH289" s="193">
        <v>23</v>
      </c>
      <c r="AI289" s="193" t="s">
        <v>4468</v>
      </c>
      <c r="AJ289" s="186">
        <v>7100</v>
      </c>
      <c r="AK289" s="193">
        <v>0</v>
      </c>
      <c r="AL289" s="147">
        <f t="shared" si="83"/>
        <v>652</v>
      </c>
      <c r="AM289" s="193">
        <f t="shared" si="82"/>
        <v>4629200</v>
      </c>
      <c r="AN289" s="193" t="s">
        <v>650</v>
      </c>
    </row>
    <row r="290" spans="8:44">
      <c r="H290" s="9" t="s">
        <v>5613</v>
      </c>
      <c r="Q290" s="97" t="s">
        <v>5690</v>
      </c>
      <c r="R290" s="93">
        <v>-48684800.338199995</v>
      </c>
      <c r="T290" s="210" t="s">
        <v>5179</v>
      </c>
      <c r="U290" s="210">
        <v>-250</v>
      </c>
      <c r="V290" s="111">
        <v>487.125</v>
      </c>
      <c r="W290" s="111">
        <f t="shared" si="80"/>
        <v>-121781.25</v>
      </c>
      <c r="X290" s="36" t="s">
        <v>4411</v>
      </c>
      <c r="AH290" s="20">
        <v>24</v>
      </c>
      <c r="AI290" s="20" t="s">
        <v>4468</v>
      </c>
      <c r="AJ290" s="115">
        <v>-147902</v>
      </c>
      <c r="AK290" s="20">
        <v>3</v>
      </c>
      <c r="AL290" s="97">
        <f t="shared" si="83"/>
        <v>652</v>
      </c>
      <c r="AM290" s="20">
        <f t="shared" si="82"/>
        <v>-96432104</v>
      </c>
      <c r="AN290" s="20"/>
    </row>
    <row r="291" spans="8:44">
      <c r="H291" s="9" t="s">
        <v>5614</v>
      </c>
      <c r="Q291" s="97" t="s">
        <v>5714</v>
      </c>
      <c r="R291" s="93">
        <v>1500000</v>
      </c>
      <c r="S291" t="s">
        <v>25</v>
      </c>
      <c r="T291" s="210" t="s">
        <v>5179</v>
      </c>
      <c r="U291" s="210">
        <v>250</v>
      </c>
      <c r="V291" s="111">
        <v>487.125</v>
      </c>
      <c r="W291" s="111">
        <f t="shared" si="80"/>
        <v>121781.25</v>
      </c>
      <c r="X291" s="36" t="s">
        <v>744</v>
      </c>
      <c r="AH291" s="147">
        <v>25</v>
      </c>
      <c r="AI291" s="147" t="s">
        <v>4476</v>
      </c>
      <c r="AJ291" s="186">
        <v>-37200</v>
      </c>
      <c r="AK291" s="147">
        <v>4</v>
      </c>
      <c r="AL291" s="147">
        <f t="shared" si="83"/>
        <v>649</v>
      </c>
      <c r="AM291" s="193">
        <f t="shared" si="82"/>
        <v>-24142800</v>
      </c>
      <c r="AN291" s="147" t="s">
        <v>650</v>
      </c>
    </row>
    <row r="292" spans="8:44">
      <c r="H292" s="9" t="s">
        <v>5645</v>
      </c>
      <c r="O292" t="s">
        <v>25</v>
      </c>
      <c r="Q292" s="97"/>
      <c r="R292" s="93"/>
      <c r="T292" s="210" t="s">
        <v>5187</v>
      </c>
      <c r="U292" s="210">
        <v>-1439</v>
      </c>
      <c r="V292" s="111">
        <v>486.53068999999999</v>
      </c>
      <c r="W292" s="111">
        <f t="shared" si="80"/>
        <v>-700117.66290999996</v>
      </c>
      <c r="X292" s="36" t="s">
        <v>4411</v>
      </c>
      <c r="AH292" s="97">
        <v>26</v>
      </c>
      <c r="AI292" s="97" t="s">
        <v>4506</v>
      </c>
      <c r="AJ292" s="115">
        <v>-372326</v>
      </c>
      <c r="AK292" s="97">
        <v>21</v>
      </c>
      <c r="AL292" s="97">
        <f t="shared" si="83"/>
        <v>645</v>
      </c>
      <c r="AM292" s="20">
        <f t="shared" si="82"/>
        <v>-240150270</v>
      </c>
      <c r="AN292" s="97"/>
    </row>
    <row r="293" spans="8:44">
      <c r="H293" s="324"/>
      <c r="Q293" s="97"/>
      <c r="R293" s="93"/>
      <c r="T293" s="210" t="s">
        <v>5187</v>
      </c>
      <c r="U293" s="210">
        <v>411</v>
      </c>
      <c r="V293" s="111">
        <v>486.53068999999999</v>
      </c>
      <c r="W293" s="111">
        <f t="shared" si="80"/>
        <v>199964.11358999999</v>
      </c>
      <c r="X293" s="36" t="s">
        <v>744</v>
      </c>
      <c r="AH293" s="97">
        <v>27</v>
      </c>
      <c r="AI293" s="97" t="s">
        <v>4553</v>
      </c>
      <c r="AJ293" s="115">
        <v>235062</v>
      </c>
      <c r="AK293" s="97">
        <v>0</v>
      </c>
      <c r="AL293" s="97">
        <f t="shared" si="83"/>
        <v>624</v>
      </c>
      <c r="AM293" s="20">
        <f t="shared" si="82"/>
        <v>146678688</v>
      </c>
      <c r="AN293" s="97"/>
    </row>
    <row r="294" spans="8:44">
      <c r="P294" t="s">
        <v>25</v>
      </c>
      <c r="Q294" s="97"/>
      <c r="R294" s="93">
        <f>SUM(R242:R293)</f>
        <v>188817555.75839999</v>
      </c>
      <c r="S294" t="s">
        <v>25</v>
      </c>
      <c r="T294" s="210" t="s">
        <v>5156</v>
      </c>
      <c r="U294" s="210">
        <v>-4290</v>
      </c>
      <c r="V294" s="111">
        <v>497.57670000000002</v>
      </c>
      <c r="W294" s="111">
        <f t="shared" si="80"/>
        <v>-2134604.0430000001</v>
      </c>
      <c r="X294" s="36" t="s">
        <v>452</v>
      </c>
      <c r="AH294" s="147">
        <v>28</v>
      </c>
      <c r="AI294" s="147" t="s">
        <v>4553</v>
      </c>
      <c r="AJ294" s="186">
        <v>235062</v>
      </c>
      <c r="AK294" s="147">
        <v>9</v>
      </c>
      <c r="AL294" s="97">
        <f t="shared" si="83"/>
        <v>624</v>
      </c>
      <c r="AM294" s="147">
        <f t="shared" si="82"/>
        <v>146678688</v>
      </c>
      <c r="AN294" s="147" t="s">
        <v>650</v>
      </c>
    </row>
    <row r="295" spans="8:44">
      <c r="Q295" s="97"/>
      <c r="R295" s="97" t="s">
        <v>6</v>
      </c>
      <c r="S295" t="s">
        <v>25</v>
      </c>
      <c r="T295" s="210" t="s">
        <v>5194</v>
      </c>
      <c r="U295" s="210">
        <v>-644</v>
      </c>
      <c r="V295" s="111">
        <v>494.76464499999997</v>
      </c>
      <c r="W295" s="111">
        <f t="shared" si="80"/>
        <v>-318628.43137999997</v>
      </c>
      <c r="X295" s="36" t="s">
        <v>452</v>
      </c>
      <c r="AH295" s="147">
        <v>29</v>
      </c>
      <c r="AI295" s="147" t="s">
        <v>4572</v>
      </c>
      <c r="AJ295" s="186">
        <v>450000</v>
      </c>
      <c r="AK295" s="147">
        <v>0</v>
      </c>
      <c r="AL295" s="97">
        <f t="shared" si="83"/>
        <v>615</v>
      </c>
      <c r="AM295" s="147">
        <f t="shared" si="82"/>
        <v>276750000</v>
      </c>
      <c r="AN295" s="147" t="s">
        <v>650</v>
      </c>
    </row>
    <row r="296" spans="8:44">
      <c r="R296" t="s">
        <v>25</v>
      </c>
      <c r="T296" s="210" t="s">
        <v>5197</v>
      </c>
      <c r="U296" s="210">
        <v>-112</v>
      </c>
      <c r="V296" s="111">
        <v>485.78</v>
      </c>
      <c r="W296" s="111">
        <f t="shared" si="80"/>
        <v>-54407.360000000001</v>
      </c>
      <c r="X296" s="36" t="s">
        <v>452</v>
      </c>
      <c r="AH296" s="20">
        <v>30</v>
      </c>
      <c r="AI296" s="20" t="s">
        <v>4572</v>
      </c>
      <c r="AJ296" s="115">
        <v>450000</v>
      </c>
      <c r="AK296" s="20">
        <v>22</v>
      </c>
      <c r="AL296" s="97">
        <f>AK296+AL297</f>
        <v>615</v>
      </c>
      <c r="AM296" s="20">
        <f t="shared" si="82"/>
        <v>276750000</v>
      </c>
      <c r="AN296" s="20"/>
    </row>
    <row r="297" spans="8:44">
      <c r="T297" s="210" t="s">
        <v>5197</v>
      </c>
      <c r="U297" s="210">
        <v>123</v>
      </c>
      <c r="V297" s="111">
        <v>485.78</v>
      </c>
      <c r="W297" s="111">
        <f t="shared" si="80"/>
        <v>59750.939999999995</v>
      </c>
      <c r="X297" s="36" t="s">
        <v>744</v>
      </c>
      <c r="Z297" t="s">
        <v>25</v>
      </c>
      <c r="AH297" s="147">
        <v>31</v>
      </c>
      <c r="AI297" s="147" t="s">
        <v>4638</v>
      </c>
      <c r="AJ297" s="186">
        <v>300000</v>
      </c>
      <c r="AK297" s="147">
        <v>0</v>
      </c>
      <c r="AL297" s="147">
        <f t="shared" ref="AL297:AL312" si="84">AK297+AL298</f>
        <v>593</v>
      </c>
      <c r="AM297" s="147">
        <f t="shared" ref="AM297:AM306" si="85">AJ297*AL297</f>
        <v>177900000</v>
      </c>
      <c r="AN297" s="147"/>
    </row>
    <row r="298" spans="8:44" ht="30">
      <c r="Q298" s="97" t="s">
        <v>452</v>
      </c>
      <c r="R298" s="97"/>
      <c r="T298" s="210" t="s">
        <v>5197</v>
      </c>
      <c r="U298" s="210">
        <v>-123</v>
      </c>
      <c r="V298" s="111">
        <v>485.78</v>
      </c>
      <c r="W298" s="111">
        <f t="shared" si="80"/>
        <v>-59750.939999999995</v>
      </c>
      <c r="X298" s="36" t="s">
        <v>4411</v>
      </c>
      <c r="AH298" s="119">
        <v>32</v>
      </c>
      <c r="AI298" s="119" t="s">
        <v>4638</v>
      </c>
      <c r="AJ298" s="77">
        <v>288936</v>
      </c>
      <c r="AK298" s="119">
        <v>3</v>
      </c>
      <c r="AL298" s="119">
        <f t="shared" si="84"/>
        <v>593</v>
      </c>
      <c r="AM298" s="119">
        <f t="shared" si="85"/>
        <v>171339048</v>
      </c>
      <c r="AN298" s="202" t="s">
        <v>4649</v>
      </c>
    </row>
    <row r="299" spans="8:44">
      <c r="Q299" s="97" t="s">
        <v>4404</v>
      </c>
      <c r="R299" s="93">
        <v>63115000</v>
      </c>
      <c r="T299" s="210" t="s">
        <v>5241</v>
      </c>
      <c r="U299" s="210">
        <v>32367</v>
      </c>
      <c r="V299" s="111">
        <v>556.12900000000002</v>
      </c>
      <c r="W299" s="111">
        <f t="shared" si="80"/>
        <v>18000227.343000002</v>
      </c>
      <c r="X299" s="36" t="s">
        <v>452</v>
      </c>
      <c r="AH299" s="119">
        <v>33</v>
      </c>
      <c r="AI299" s="119" t="s">
        <v>4647</v>
      </c>
      <c r="AJ299" s="77">
        <v>17962491</v>
      </c>
      <c r="AK299" s="119">
        <v>1</v>
      </c>
      <c r="AL299" s="119">
        <f t="shared" si="84"/>
        <v>590</v>
      </c>
      <c r="AM299" s="119">
        <f t="shared" si="85"/>
        <v>10597869690</v>
      </c>
      <c r="AN299" s="119" t="s">
        <v>4654</v>
      </c>
    </row>
    <row r="300" spans="8:44">
      <c r="Q300" s="97" t="s">
        <v>4451</v>
      </c>
      <c r="R300" s="93">
        <v>13300000</v>
      </c>
      <c r="T300" s="210" t="s">
        <v>5257</v>
      </c>
      <c r="U300" s="210">
        <v>1254</v>
      </c>
      <c r="V300" s="111">
        <v>558.24400000000003</v>
      </c>
      <c r="W300" s="111">
        <f t="shared" si="80"/>
        <v>700037.97600000002</v>
      </c>
      <c r="X300" s="36" t="s">
        <v>4411</v>
      </c>
      <c r="AH300" s="119">
        <v>34</v>
      </c>
      <c r="AI300" s="119" t="s">
        <v>3668</v>
      </c>
      <c r="AJ300" s="77">
        <v>18363511</v>
      </c>
      <c r="AK300" s="119">
        <v>1</v>
      </c>
      <c r="AL300" s="119">
        <f t="shared" si="84"/>
        <v>589</v>
      </c>
      <c r="AM300" s="119">
        <f t="shared" si="85"/>
        <v>10816107979</v>
      </c>
      <c r="AN300" s="119" t="s">
        <v>4654</v>
      </c>
      <c r="AR300" t="s">
        <v>25</v>
      </c>
    </row>
    <row r="301" spans="8:44">
      <c r="Q301" s="97" t="s">
        <v>4459</v>
      </c>
      <c r="R301" s="93">
        <v>2269000</v>
      </c>
      <c r="T301" s="166" t="s">
        <v>5257</v>
      </c>
      <c r="U301" s="210">
        <v>-358</v>
      </c>
      <c r="V301" s="111">
        <v>558.24400000000003</v>
      </c>
      <c r="W301" s="111">
        <f t="shared" si="80"/>
        <v>-199851.35200000001</v>
      </c>
      <c r="X301" s="36" t="s">
        <v>744</v>
      </c>
      <c r="Y301" t="s">
        <v>25</v>
      </c>
      <c r="AH301" s="119">
        <v>35</v>
      </c>
      <c r="AI301" s="119" t="s">
        <v>4659</v>
      </c>
      <c r="AJ301" s="77">
        <v>23622417</v>
      </c>
      <c r="AK301" s="119">
        <v>5</v>
      </c>
      <c r="AL301" s="119">
        <f t="shared" si="84"/>
        <v>588</v>
      </c>
      <c r="AM301" s="119">
        <f t="shared" si="85"/>
        <v>13889981196</v>
      </c>
      <c r="AN301" s="119" t="s">
        <v>4661</v>
      </c>
    </row>
    <row r="302" spans="8:44">
      <c r="Q302" s="97" t="s">
        <v>4562</v>
      </c>
      <c r="R302" s="93">
        <v>25071612</v>
      </c>
      <c r="T302" s="187" t="s">
        <v>5266</v>
      </c>
      <c r="U302" s="187">
        <v>-3326</v>
      </c>
      <c r="V302" s="186">
        <v>601.39300000000003</v>
      </c>
      <c r="W302" s="186">
        <f t="shared" si="80"/>
        <v>-2000233.118</v>
      </c>
      <c r="X302" s="275" t="s">
        <v>5109</v>
      </c>
      <c r="AH302" s="119">
        <v>36</v>
      </c>
      <c r="AI302" s="119" t="s">
        <v>4674</v>
      </c>
      <c r="AJ302" s="77">
        <v>82496108</v>
      </c>
      <c r="AK302" s="119">
        <v>1</v>
      </c>
      <c r="AL302" s="119">
        <f t="shared" si="84"/>
        <v>583</v>
      </c>
      <c r="AM302" s="119">
        <f t="shared" si="85"/>
        <v>48095230964</v>
      </c>
      <c r="AN302" s="119" t="s">
        <v>4677</v>
      </c>
    </row>
    <row r="303" spans="8:44">
      <c r="Q303" s="97" t="s">
        <v>4571</v>
      </c>
      <c r="R303" s="93">
        <v>42236984</v>
      </c>
      <c r="T303" s="187" t="s">
        <v>5268</v>
      </c>
      <c r="U303" s="187">
        <v>3326</v>
      </c>
      <c r="V303" s="186">
        <v>601.39300000000003</v>
      </c>
      <c r="W303" s="186">
        <f t="shared" si="80"/>
        <v>2000233.118</v>
      </c>
      <c r="X303" s="275" t="s">
        <v>5109</v>
      </c>
      <c r="Y303" t="s">
        <v>25</v>
      </c>
      <c r="AA303" t="s">
        <v>25</v>
      </c>
      <c r="AH303" s="119">
        <v>37</v>
      </c>
      <c r="AI303" s="119" t="s">
        <v>4676</v>
      </c>
      <c r="AJ303" s="77">
        <v>74657561</v>
      </c>
      <c r="AK303" s="119">
        <v>16</v>
      </c>
      <c r="AL303" s="119">
        <f t="shared" si="84"/>
        <v>582</v>
      </c>
      <c r="AM303" s="119">
        <f t="shared" si="85"/>
        <v>43450700502</v>
      </c>
      <c r="AN303" s="119" t="s">
        <v>4682</v>
      </c>
    </row>
    <row r="304" spans="8:44">
      <c r="P304" t="s">
        <v>25</v>
      </c>
      <c r="Q304" s="97" t="s">
        <v>4572</v>
      </c>
      <c r="R304" s="93">
        <v>19663646</v>
      </c>
      <c r="T304" s="187" t="s">
        <v>5279</v>
      </c>
      <c r="U304" s="187">
        <v>63259</v>
      </c>
      <c r="V304" s="186">
        <v>632.31960000000004</v>
      </c>
      <c r="W304" s="186">
        <f t="shared" si="80"/>
        <v>39999905.576400004</v>
      </c>
      <c r="X304" s="275" t="s">
        <v>1071</v>
      </c>
      <c r="Z304" t="s">
        <v>25</v>
      </c>
      <c r="AH304" s="97">
        <v>38</v>
      </c>
      <c r="AI304" s="97" t="s">
        <v>4750</v>
      </c>
      <c r="AJ304" s="115">
        <v>665000</v>
      </c>
      <c r="AK304" s="97">
        <v>0</v>
      </c>
      <c r="AL304" s="97">
        <f t="shared" si="84"/>
        <v>566</v>
      </c>
      <c r="AM304" s="20">
        <f t="shared" si="85"/>
        <v>376390000</v>
      </c>
      <c r="AN304" s="97"/>
    </row>
    <row r="305" spans="16:40">
      <c r="P305" t="s">
        <v>25</v>
      </c>
      <c r="Q305" s="97" t="s">
        <v>4595</v>
      </c>
      <c r="R305" s="93">
        <v>4374525</v>
      </c>
      <c r="T305" s="19" t="s">
        <v>5284</v>
      </c>
      <c r="U305" s="19">
        <v>-1278</v>
      </c>
      <c r="V305" s="115">
        <v>625.98</v>
      </c>
      <c r="W305" s="115">
        <f t="shared" si="80"/>
        <v>-800002.44000000006</v>
      </c>
      <c r="X305" s="276" t="s">
        <v>5285</v>
      </c>
      <c r="AH305" s="147">
        <v>39</v>
      </c>
      <c r="AI305" s="147" t="s">
        <v>4750</v>
      </c>
      <c r="AJ305" s="186">
        <v>665000</v>
      </c>
      <c r="AK305" s="147">
        <v>4</v>
      </c>
      <c r="AL305" s="193">
        <f t="shared" si="84"/>
        <v>566</v>
      </c>
      <c r="AM305" s="193">
        <f t="shared" si="85"/>
        <v>376390000</v>
      </c>
      <c r="AN305" s="193"/>
    </row>
    <row r="306" spans="16:40">
      <c r="Q306" s="97" t="s">
        <v>4606</v>
      </c>
      <c r="R306" s="93">
        <v>6550580</v>
      </c>
      <c r="T306" s="19" t="s">
        <v>5290</v>
      </c>
      <c r="U306" s="19">
        <v>32049</v>
      </c>
      <c r="V306" s="115">
        <v>624.04600000000005</v>
      </c>
      <c r="W306" s="115">
        <f t="shared" si="80"/>
        <v>20000050.254000001</v>
      </c>
      <c r="X306" s="276" t="s">
        <v>5148</v>
      </c>
      <c r="AH306" s="20">
        <v>40</v>
      </c>
      <c r="AI306" s="20" t="s">
        <v>4759</v>
      </c>
      <c r="AJ306" s="115">
        <v>2000000</v>
      </c>
      <c r="AK306" s="20">
        <v>1</v>
      </c>
      <c r="AL306" s="97">
        <f t="shared" si="84"/>
        <v>562</v>
      </c>
      <c r="AM306" s="20">
        <f t="shared" si="85"/>
        <v>1124000000</v>
      </c>
      <c r="AN306" s="97"/>
    </row>
    <row r="307" spans="16:40" ht="30">
      <c r="Q307" s="97" t="s">
        <v>4608</v>
      </c>
      <c r="R307" s="93">
        <v>7054895</v>
      </c>
      <c r="T307" s="19" t="s">
        <v>5300</v>
      </c>
      <c r="U307" s="19">
        <v>45094</v>
      </c>
      <c r="V307" s="115">
        <v>614.13559759999998</v>
      </c>
      <c r="W307" s="115">
        <f t="shared" si="80"/>
        <v>27693830.6381744</v>
      </c>
      <c r="X307" s="276" t="s">
        <v>5302</v>
      </c>
      <c r="Y307" t="s">
        <v>25</v>
      </c>
      <c r="AH307" s="20">
        <v>41</v>
      </c>
      <c r="AI307" s="20" t="s">
        <v>4764</v>
      </c>
      <c r="AJ307" s="115">
        <v>-2060725</v>
      </c>
      <c r="AK307" s="20">
        <v>0</v>
      </c>
      <c r="AL307" s="97">
        <f t="shared" si="84"/>
        <v>561</v>
      </c>
      <c r="AM307" s="20">
        <f t="shared" ref="AM307:AM312" si="86">AJ307*AL307</f>
        <v>-1156066725</v>
      </c>
      <c r="AN307" s="97" t="s">
        <v>4765</v>
      </c>
    </row>
    <row r="308" spans="16:40" ht="30">
      <c r="Q308" s="97" t="s">
        <v>4625</v>
      </c>
      <c r="R308" s="93">
        <v>2145814</v>
      </c>
      <c r="T308" s="19" t="s">
        <v>5330</v>
      </c>
      <c r="U308" s="19">
        <v>-11804</v>
      </c>
      <c r="V308" s="115">
        <v>762.46640000000002</v>
      </c>
      <c r="W308" s="115">
        <f t="shared" si="80"/>
        <v>-9000153.3856000006</v>
      </c>
      <c r="X308" s="276" t="s">
        <v>5332</v>
      </c>
      <c r="AH308" s="147">
        <v>42</v>
      </c>
      <c r="AI308" s="147" t="s">
        <v>4764</v>
      </c>
      <c r="AJ308" s="186">
        <v>-433375</v>
      </c>
      <c r="AK308" s="147">
        <v>0</v>
      </c>
      <c r="AL308" s="147">
        <f t="shared" si="84"/>
        <v>561</v>
      </c>
      <c r="AM308" s="147">
        <f t="shared" si="86"/>
        <v>-243123375</v>
      </c>
      <c r="AN308" s="147" t="s">
        <v>4766</v>
      </c>
    </row>
    <row r="309" spans="16:40">
      <c r="Q309" s="97" t="s">
        <v>4636</v>
      </c>
      <c r="R309" s="93">
        <v>4369730</v>
      </c>
      <c r="T309" s="19" t="s">
        <v>5375</v>
      </c>
      <c r="U309" s="19">
        <v>844</v>
      </c>
      <c r="V309" s="115">
        <v>830</v>
      </c>
      <c r="W309" s="115">
        <f t="shared" si="80"/>
        <v>700520</v>
      </c>
      <c r="X309" s="276" t="s">
        <v>4411</v>
      </c>
      <c r="AA309" t="s">
        <v>25</v>
      </c>
      <c r="AH309" s="20">
        <v>43</v>
      </c>
      <c r="AI309" s="20" t="s">
        <v>4764</v>
      </c>
      <c r="AJ309" s="115">
        <v>28000000</v>
      </c>
      <c r="AK309" s="20">
        <v>1</v>
      </c>
      <c r="AL309" s="97">
        <f t="shared" si="84"/>
        <v>561</v>
      </c>
      <c r="AM309" s="20">
        <f t="shared" si="86"/>
        <v>15708000000</v>
      </c>
      <c r="AN309" s="97" t="s">
        <v>3875</v>
      </c>
    </row>
    <row r="310" spans="16:40">
      <c r="Q310" s="97" t="s">
        <v>4638</v>
      </c>
      <c r="R310" s="93">
        <v>8739459</v>
      </c>
      <c r="T310" s="19" t="s">
        <v>5379</v>
      </c>
      <c r="U310" s="19">
        <v>8662</v>
      </c>
      <c r="V310" s="115">
        <v>832.57011999999997</v>
      </c>
      <c r="W310" s="115">
        <f t="shared" si="80"/>
        <v>7211722.3794399993</v>
      </c>
      <c r="X310" s="276" t="s">
        <v>5143</v>
      </c>
      <c r="AH310" s="20">
        <v>44</v>
      </c>
      <c r="AI310" s="20" t="s">
        <v>4773</v>
      </c>
      <c r="AJ310" s="115">
        <v>160000</v>
      </c>
      <c r="AK310" s="20">
        <v>0</v>
      </c>
      <c r="AL310" s="97">
        <f t="shared" si="84"/>
        <v>560</v>
      </c>
      <c r="AM310" s="20">
        <f t="shared" si="86"/>
        <v>89600000</v>
      </c>
      <c r="AN310" s="97"/>
    </row>
    <row r="311" spans="16:40" ht="30">
      <c r="Q311" s="97" t="s">
        <v>4647</v>
      </c>
      <c r="R311" s="93">
        <v>6667654</v>
      </c>
      <c r="T311" s="19" t="s">
        <v>5380</v>
      </c>
      <c r="U311" s="19">
        <v>10253</v>
      </c>
      <c r="V311" s="115">
        <v>827.2568</v>
      </c>
      <c r="W311" s="115">
        <f t="shared" si="80"/>
        <v>8481863.9704</v>
      </c>
      <c r="X311" s="276" t="s">
        <v>5387</v>
      </c>
      <c r="AH311" s="147">
        <v>45</v>
      </c>
      <c r="AI311" s="147" t="s">
        <v>4773</v>
      </c>
      <c r="AJ311" s="186">
        <v>70000</v>
      </c>
      <c r="AK311" s="147">
        <v>9</v>
      </c>
      <c r="AL311" s="147">
        <f t="shared" si="84"/>
        <v>560</v>
      </c>
      <c r="AM311" s="147">
        <f t="shared" si="86"/>
        <v>39200000</v>
      </c>
      <c r="AN311" s="147"/>
    </row>
    <row r="312" spans="16:40">
      <c r="Q312" s="97" t="s">
        <v>3668</v>
      </c>
      <c r="R312" s="93">
        <v>8981245</v>
      </c>
      <c r="T312" s="242" t="s">
        <v>5388</v>
      </c>
      <c r="U312" s="242">
        <v>-33077</v>
      </c>
      <c r="V312" s="243">
        <v>786.02973999999995</v>
      </c>
      <c r="W312" s="243">
        <f t="shared" si="80"/>
        <v>-25999505.70998</v>
      </c>
      <c r="X312" s="284" t="s">
        <v>5391</v>
      </c>
      <c r="Y312" t="s">
        <v>25</v>
      </c>
      <c r="AH312" s="20">
        <v>46</v>
      </c>
      <c r="AI312" s="20" t="s">
        <v>4780</v>
      </c>
      <c r="AJ312" s="115">
        <v>850000</v>
      </c>
      <c r="AK312" s="20">
        <v>0</v>
      </c>
      <c r="AL312" s="97">
        <f t="shared" si="84"/>
        <v>551</v>
      </c>
      <c r="AM312" s="20">
        <f t="shared" si="86"/>
        <v>468350000</v>
      </c>
      <c r="AN312" s="97"/>
    </row>
    <row r="313" spans="16:40">
      <c r="Q313" s="97" t="s">
        <v>4659</v>
      </c>
      <c r="R313" s="93">
        <v>9181756</v>
      </c>
      <c r="T313" s="19" t="s">
        <v>5388</v>
      </c>
      <c r="U313" s="19">
        <v>-33077</v>
      </c>
      <c r="V313" s="115">
        <v>786.02973999999995</v>
      </c>
      <c r="W313" s="115">
        <f t="shared" si="80"/>
        <v>-25999505.70998</v>
      </c>
      <c r="X313" s="276" t="s">
        <v>5392</v>
      </c>
      <c r="Y313" t="s">
        <v>25</v>
      </c>
      <c r="Z313" t="s">
        <v>25</v>
      </c>
      <c r="AA313" t="s">
        <v>25</v>
      </c>
      <c r="AH313" s="193">
        <v>47</v>
      </c>
      <c r="AI313" s="193" t="s">
        <v>4780</v>
      </c>
      <c r="AJ313" s="194">
        <v>20000</v>
      </c>
      <c r="AK313" s="193">
        <v>4</v>
      </c>
      <c r="AL313" s="193">
        <f t="shared" ref="AL313:AL321" si="87">AK313+AL314</f>
        <v>551</v>
      </c>
      <c r="AM313" s="193">
        <f t="shared" ref="AM313:AM321" si="88">AJ313*AL313</f>
        <v>11020000</v>
      </c>
      <c r="AN313" s="193"/>
    </row>
    <row r="314" spans="16:40">
      <c r="Q314" s="97" t="s">
        <v>4662</v>
      </c>
      <c r="R314" s="93">
        <v>11811208</v>
      </c>
      <c r="T314" s="19" t="s">
        <v>5388</v>
      </c>
      <c r="U314" s="19">
        <v>1983</v>
      </c>
      <c r="V314" s="115">
        <v>786.02973999999995</v>
      </c>
      <c r="W314" s="115">
        <f t="shared" si="80"/>
        <v>1558696.9744199999</v>
      </c>
      <c r="X314" s="276" t="s">
        <v>5143</v>
      </c>
      <c r="AH314" s="193">
        <v>48</v>
      </c>
      <c r="AI314" s="193" t="s">
        <v>4793</v>
      </c>
      <c r="AJ314" s="194">
        <v>30000000</v>
      </c>
      <c r="AK314" s="193">
        <v>27</v>
      </c>
      <c r="AL314" s="193">
        <f t="shared" si="87"/>
        <v>547</v>
      </c>
      <c r="AM314" s="193">
        <f t="shared" si="88"/>
        <v>16410000000</v>
      </c>
      <c r="AN314" s="193" t="s">
        <v>4794</v>
      </c>
    </row>
    <row r="315" spans="16:40">
      <c r="Q315" s="97" t="s">
        <v>4676</v>
      </c>
      <c r="R315" s="93">
        <v>41248054</v>
      </c>
      <c r="T315" s="242" t="s">
        <v>5393</v>
      </c>
      <c r="U315" s="242">
        <v>-119753</v>
      </c>
      <c r="V315" s="243">
        <v>800.81560000000002</v>
      </c>
      <c r="W315" s="243">
        <f t="shared" si="80"/>
        <v>-95900070.546800002</v>
      </c>
      <c r="X315" s="284" t="s">
        <v>5391</v>
      </c>
      <c r="AH315" s="20">
        <v>49</v>
      </c>
      <c r="AI315" s="20" t="s">
        <v>4867</v>
      </c>
      <c r="AJ315" s="115">
        <v>1100000</v>
      </c>
      <c r="AK315" s="20">
        <v>1</v>
      </c>
      <c r="AL315" s="20">
        <f t="shared" si="87"/>
        <v>520</v>
      </c>
      <c r="AM315" s="20">
        <f t="shared" si="88"/>
        <v>572000000</v>
      </c>
      <c r="AN315" s="20"/>
    </row>
    <row r="316" spans="16:40">
      <c r="Q316" s="97" t="s">
        <v>4683</v>
      </c>
      <c r="R316" s="93">
        <v>37328780</v>
      </c>
      <c r="T316" s="19" t="s">
        <v>5393</v>
      </c>
      <c r="U316" s="19">
        <v>-119753</v>
      </c>
      <c r="V316" s="115">
        <v>800.81560000000002</v>
      </c>
      <c r="W316" s="115">
        <f t="shared" si="80"/>
        <v>-95900070.546800002</v>
      </c>
      <c r="X316" s="276" t="s">
        <v>5392</v>
      </c>
      <c r="AH316" s="20">
        <v>50</v>
      </c>
      <c r="AI316" s="20" t="s">
        <v>4868</v>
      </c>
      <c r="AJ316" s="115">
        <v>450000</v>
      </c>
      <c r="AK316" s="20">
        <v>0</v>
      </c>
      <c r="AL316" s="20">
        <f t="shared" si="87"/>
        <v>519</v>
      </c>
      <c r="AM316" s="20">
        <f t="shared" si="88"/>
        <v>233550000</v>
      </c>
      <c r="AN316" s="20"/>
    </row>
    <row r="317" spans="16:40">
      <c r="Q317" s="97" t="s">
        <v>4689</v>
      </c>
      <c r="R317" s="93">
        <v>50000000</v>
      </c>
      <c r="S317" s="112"/>
      <c r="T317" s="19" t="s">
        <v>5393</v>
      </c>
      <c r="U317" s="19">
        <v>11291</v>
      </c>
      <c r="V317" s="115">
        <v>800.81560000000002</v>
      </c>
      <c r="W317" s="115">
        <f t="shared" si="80"/>
        <v>9042008.9396000002</v>
      </c>
      <c r="X317" s="276" t="s">
        <v>452</v>
      </c>
      <c r="AH317" s="147">
        <v>51</v>
      </c>
      <c r="AI317" s="147" t="s">
        <v>4868</v>
      </c>
      <c r="AJ317" s="186">
        <v>550000</v>
      </c>
      <c r="AK317" s="147">
        <v>1</v>
      </c>
      <c r="AL317" s="147">
        <f t="shared" si="87"/>
        <v>519</v>
      </c>
      <c r="AM317" s="147">
        <f t="shared" si="88"/>
        <v>285450000</v>
      </c>
      <c r="AN317" s="147"/>
    </row>
    <row r="318" spans="16:40">
      <c r="Q318" s="97" t="s">
        <v>4750</v>
      </c>
      <c r="R318" s="93">
        <v>68656</v>
      </c>
      <c r="T318" s="187" t="s">
        <v>5394</v>
      </c>
      <c r="U318" s="187">
        <v>-35361</v>
      </c>
      <c r="V318" s="186">
        <v>818.697</v>
      </c>
      <c r="W318" s="186">
        <f t="shared" si="80"/>
        <v>-28949944.616999999</v>
      </c>
      <c r="X318" s="275" t="s">
        <v>5391</v>
      </c>
      <c r="AH318" s="147">
        <v>52</v>
      </c>
      <c r="AI318" s="147" t="s">
        <v>4870</v>
      </c>
      <c r="AJ318" s="186">
        <v>1000000</v>
      </c>
      <c r="AK318" s="147">
        <v>8</v>
      </c>
      <c r="AL318" s="147">
        <f t="shared" si="87"/>
        <v>518</v>
      </c>
      <c r="AM318" s="147">
        <f t="shared" si="88"/>
        <v>518000000</v>
      </c>
      <c r="AN318" s="147"/>
    </row>
    <row r="319" spans="16:40">
      <c r="Q319" s="97" t="s">
        <v>4759</v>
      </c>
      <c r="R319" s="93">
        <v>4000236</v>
      </c>
      <c r="T319" s="19" t="s">
        <v>5394</v>
      </c>
      <c r="U319" s="19">
        <v>-35361</v>
      </c>
      <c r="V319" s="115">
        <v>818.697</v>
      </c>
      <c r="W319" s="115">
        <f t="shared" si="80"/>
        <v>-28949944.616999999</v>
      </c>
      <c r="X319" s="276" t="s">
        <v>5392</v>
      </c>
      <c r="AH319" s="20">
        <v>53</v>
      </c>
      <c r="AI319" s="20" t="s">
        <v>4879</v>
      </c>
      <c r="AJ319" s="115">
        <v>-2668880</v>
      </c>
      <c r="AK319" s="20">
        <v>0</v>
      </c>
      <c r="AL319" s="20">
        <f t="shared" si="87"/>
        <v>510</v>
      </c>
      <c r="AM319" s="20">
        <f t="shared" si="88"/>
        <v>-1361128800</v>
      </c>
      <c r="AN319" s="20" t="s">
        <v>4881</v>
      </c>
    </row>
    <row r="320" spans="16:40">
      <c r="Q320" s="97" t="s">
        <v>4759</v>
      </c>
      <c r="R320" s="93">
        <v>2250000</v>
      </c>
      <c r="T320" s="19" t="s">
        <v>5394</v>
      </c>
      <c r="U320" s="19">
        <v>116</v>
      </c>
      <c r="V320" s="115">
        <v>818.697</v>
      </c>
      <c r="W320" s="115">
        <f t="shared" si="80"/>
        <v>94968.851999999999</v>
      </c>
      <c r="X320" s="276" t="s">
        <v>5143</v>
      </c>
      <c r="AH320" s="147">
        <v>54</v>
      </c>
      <c r="AI320" s="147" t="s">
        <v>4879</v>
      </c>
      <c r="AJ320" s="186">
        <v>-1528620</v>
      </c>
      <c r="AK320" s="147">
        <v>0</v>
      </c>
      <c r="AL320" s="147">
        <f t="shared" si="87"/>
        <v>510</v>
      </c>
      <c r="AM320" s="147">
        <f t="shared" si="88"/>
        <v>-779596200</v>
      </c>
      <c r="AN320" s="147" t="s">
        <v>4881</v>
      </c>
    </row>
    <row r="321" spans="17:44">
      <c r="Q321" s="97" t="s">
        <v>4764</v>
      </c>
      <c r="R321" s="93">
        <v>-2512200</v>
      </c>
      <c r="T321" s="19" t="s">
        <v>5399</v>
      </c>
      <c r="U321" s="19">
        <v>48633</v>
      </c>
      <c r="V321" s="115">
        <v>822.47199999999998</v>
      </c>
      <c r="W321" s="115">
        <f t="shared" si="80"/>
        <v>39999280.776000001</v>
      </c>
      <c r="X321" s="276" t="s">
        <v>5403</v>
      </c>
      <c r="Y321" t="s">
        <v>25</v>
      </c>
      <c r="AH321" s="20">
        <v>55</v>
      </c>
      <c r="AI321" s="20" t="s">
        <v>4879</v>
      </c>
      <c r="AJ321" s="115">
        <v>50000000</v>
      </c>
      <c r="AK321" s="20">
        <v>4</v>
      </c>
      <c r="AL321" s="20">
        <f t="shared" si="87"/>
        <v>510</v>
      </c>
      <c r="AM321" s="20">
        <f t="shared" si="88"/>
        <v>25500000000</v>
      </c>
      <c r="AN321" s="20"/>
    </row>
    <row r="322" spans="17:44">
      <c r="Q322" s="97" t="s">
        <v>4773</v>
      </c>
      <c r="R322" s="93">
        <v>300000</v>
      </c>
      <c r="T322" s="19" t="s">
        <v>5399</v>
      </c>
      <c r="U322" s="19">
        <v>3412</v>
      </c>
      <c r="V322" s="115">
        <v>822.47199999999998</v>
      </c>
      <c r="W322" s="115">
        <f t="shared" si="80"/>
        <v>2806274.4640000002</v>
      </c>
      <c r="X322" s="276" t="s">
        <v>5405</v>
      </c>
      <c r="Y322" t="s">
        <v>25</v>
      </c>
      <c r="AH322" s="20">
        <v>56</v>
      </c>
      <c r="AI322" s="20" t="s">
        <v>4885</v>
      </c>
      <c r="AJ322" s="115">
        <v>400000</v>
      </c>
      <c r="AK322" s="20">
        <v>4</v>
      </c>
      <c r="AL322" s="20">
        <f t="shared" ref="AL322:AL331" si="89">AK322+AL323</f>
        <v>506</v>
      </c>
      <c r="AM322" s="20">
        <f t="shared" ref="AM322:AM331" si="90">AJ322*AL322</f>
        <v>202400000</v>
      </c>
      <c r="AN322" s="20"/>
    </row>
    <row r="323" spans="17:44">
      <c r="Q323" s="97" t="s">
        <v>966</v>
      </c>
      <c r="R323" s="93">
        <v>1100000</v>
      </c>
      <c r="T323" s="19" t="s">
        <v>5400</v>
      </c>
      <c r="U323" s="19">
        <v>1531</v>
      </c>
      <c r="V323" s="115">
        <v>869.82500000000005</v>
      </c>
      <c r="W323" s="115">
        <f t="shared" si="80"/>
        <v>1331702.075</v>
      </c>
      <c r="X323" s="276" t="s">
        <v>5406</v>
      </c>
      <c r="Z323" t="s">
        <v>25</v>
      </c>
      <c r="AH323" s="20">
        <v>57</v>
      </c>
      <c r="AI323" s="20" t="s">
        <v>4895</v>
      </c>
      <c r="AJ323" s="115">
        <v>2000000</v>
      </c>
      <c r="AK323" s="20">
        <v>3</v>
      </c>
      <c r="AL323" s="20">
        <f t="shared" si="89"/>
        <v>502</v>
      </c>
      <c r="AM323" s="20">
        <f t="shared" si="90"/>
        <v>1004000000</v>
      </c>
      <c r="AN323" s="20"/>
    </row>
    <row r="324" spans="17:44">
      <c r="Q324" s="97" t="s">
        <v>4780</v>
      </c>
      <c r="R324" s="93">
        <v>890000</v>
      </c>
      <c r="T324" s="170" t="s">
        <v>5409</v>
      </c>
      <c r="U324" s="170">
        <v>2394</v>
      </c>
      <c r="V324" s="168">
        <v>835.36580000000004</v>
      </c>
      <c r="W324" s="168">
        <f t="shared" si="80"/>
        <v>1999865.7252</v>
      </c>
      <c r="X324" s="285" t="s">
        <v>5411</v>
      </c>
      <c r="Y324" t="s">
        <v>25</v>
      </c>
      <c r="Z324" t="s">
        <v>25</v>
      </c>
      <c r="AH324" s="20">
        <v>58</v>
      </c>
      <c r="AI324" s="20" t="s">
        <v>4898</v>
      </c>
      <c r="AJ324" s="115">
        <v>100000</v>
      </c>
      <c r="AK324" s="20">
        <v>4</v>
      </c>
      <c r="AL324" s="20">
        <f t="shared" si="89"/>
        <v>499</v>
      </c>
      <c r="AM324" s="20">
        <f t="shared" si="90"/>
        <v>49900000</v>
      </c>
      <c r="AN324" s="20" t="s">
        <v>3875</v>
      </c>
    </row>
    <row r="325" spans="17:44">
      <c r="Q325" s="97" t="s">
        <v>4800</v>
      </c>
      <c r="R325" s="93">
        <v>1000000</v>
      </c>
      <c r="T325" s="19" t="s">
        <v>5409</v>
      </c>
      <c r="U325" s="19">
        <v>1019</v>
      </c>
      <c r="V325" s="115">
        <v>835.36580000000004</v>
      </c>
      <c r="W325" s="115">
        <f t="shared" si="80"/>
        <v>851237.75020000001</v>
      </c>
      <c r="X325" s="276" t="s">
        <v>452</v>
      </c>
      <c r="Y325" t="s">
        <v>25</v>
      </c>
      <c r="AH325" s="20">
        <v>59</v>
      </c>
      <c r="AI325" s="20" t="s">
        <v>4905</v>
      </c>
      <c r="AJ325" s="115">
        <v>100000</v>
      </c>
      <c r="AK325" s="20">
        <v>7</v>
      </c>
      <c r="AL325" s="20">
        <f t="shared" si="89"/>
        <v>495</v>
      </c>
      <c r="AM325" s="20">
        <f t="shared" si="90"/>
        <v>49500000</v>
      </c>
      <c r="AN325" s="20"/>
    </row>
    <row r="326" spans="17:44">
      <c r="Q326" s="97" t="s">
        <v>4801</v>
      </c>
      <c r="R326" s="93">
        <v>45436311</v>
      </c>
      <c r="T326" s="187" t="s">
        <v>5415</v>
      </c>
      <c r="U326" s="187">
        <v>2316</v>
      </c>
      <c r="V326" s="186">
        <v>818.697</v>
      </c>
      <c r="W326" s="186">
        <f t="shared" si="80"/>
        <v>1896102.2520000001</v>
      </c>
      <c r="X326" s="275" t="s">
        <v>5418</v>
      </c>
      <c r="Y326" t="s">
        <v>25</v>
      </c>
      <c r="AA326" t="s">
        <v>25</v>
      </c>
      <c r="AH326" s="20">
        <v>60</v>
      </c>
      <c r="AI326" s="20" t="s">
        <v>4918</v>
      </c>
      <c r="AJ326" s="115">
        <v>50000</v>
      </c>
      <c r="AK326" s="20">
        <v>0</v>
      </c>
      <c r="AL326" s="20">
        <f t="shared" si="89"/>
        <v>488</v>
      </c>
      <c r="AM326" s="20">
        <f t="shared" si="90"/>
        <v>24400000</v>
      </c>
      <c r="AN326" s="20"/>
    </row>
    <row r="327" spans="17:44">
      <c r="Q327" s="97" t="s">
        <v>4801</v>
      </c>
      <c r="R327" s="93">
        <v>-3500000</v>
      </c>
      <c r="T327" s="19" t="s">
        <v>5421</v>
      </c>
      <c r="U327" s="19">
        <v>315</v>
      </c>
      <c r="V327" s="115">
        <v>680</v>
      </c>
      <c r="W327" s="115">
        <f t="shared" si="80"/>
        <v>214200</v>
      </c>
      <c r="X327" s="276" t="s">
        <v>5143</v>
      </c>
      <c r="Y327" t="s">
        <v>25</v>
      </c>
      <c r="AH327" s="147">
        <v>61</v>
      </c>
      <c r="AI327" s="147" t="s">
        <v>4918</v>
      </c>
      <c r="AJ327" s="186">
        <v>50000</v>
      </c>
      <c r="AK327" s="147">
        <v>3</v>
      </c>
      <c r="AL327" s="147">
        <f t="shared" si="89"/>
        <v>488</v>
      </c>
      <c r="AM327" s="147">
        <f t="shared" si="90"/>
        <v>24400000</v>
      </c>
      <c r="AN327" s="147"/>
    </row>
    <row r="328" spans="17:44">
      <c r="Q328" s="97" t="s">
        <v>4813</v>
      </c>
      <c r="R328" s="93">
        <v>2520000</v>
      </c>
      <c r="T328" s="19" t="s">
        <v>5446</v>
      </c>
      <c r="U328" s="19">
        <v>832</v>
      </c>
      <c r="V328" s="115">
        <v>784.36500000000001</v>
      </c>
      <c r="W328" s="115">
        <f t="shared" si="80"/>
        <v>652591.68000000005</v>
      </c>
      <c r="X328" s="276" t="s">
        <v>5143</v>
      </c>
      <c r="AA328" t="s">
        <v>25</v>
      </c>
      <c r="AH328" s="20">
        <v>62</v>
      </c>
      <c r="AI328" s="20" t="s">
        <v>4921</v>
      </c>
      <c r="AJ328" s="115">
        <v>50000</v>
      </c>
      <c r="AK328" s="20">
        <v>0</v>
      </c>
      <c r="AL328" s="20">
        <f t="shared" si="89"/>
        <v>485</v>
      </c>
      <c r="AM328" s="20">
        <f t="shared" si="90"/>
        <v>24250000</v>
      </c>
      <c r="AN328" s="20"/>
    </row>
    <row r="329" spans="17:44">
      <c r="Q329" s="97" t="s">
        <v>4848</v>
      </c>
      <c r="R329" s="93">
        <v>4900000</v>
      </c>
      <c r="T329" s="19" t="s">
        <v>5504</v>
      </c>
      <c r="U329" s="19">
        <v>382</v>
      </c>
      <c r="V329" s="115">
        <v>1450.6065000000001</v>
      </c>
      <c r="W329" s="115">
        <f t="shared" si="80"/>
        <v>554131.68300000008</v>
      </c>
      <c r="X329" s="276" t="s">
        <v>5143</v>
      </c>
      <c r="AH329" s="193">
        <v>63</v>
      </c>
      <c r="AI329" s="193" t="s">
        <v>4921</v>
      </c>
      <c r="AJ329" s="194">
        <v>50000</v>
      </c>
      <c r="AK329" s="193">
        <v>2</v>
      </c>
      <c r="AL329" s="193">
        <f t="shared" si="89"/>
        <v>485</v>
      </c>
      <c r="AM329" s="193">
        <f t="shared" si="90"/>
        <v>24250000</v>
      </c>
      <c r="AN329" s="193"/>
    </row>
    <row r="330" spans="17:44">
      <c r="Q330" s="97" t="s">
        <v>4867</v>
      </c>
      <c r="R330" s="93">
        <v>1150000</v>
      </c>
      <c r="T330" s="19" t="s">
        <v>5505</v>
      </c>
      <c r="U330" s="19">
        <v>50047</v>
      </c>
      <c r="V330" s="115">
        <v>1406.14</v>
      </c>
      <c r="W330" s="115">
        <f t="shared" si="80"/>
        <v>70373088.579999998</v>
      </c>
      <c r="X330" s="276" t="s">
        <v>5143</v>
      </c>
      <c r="Y330" t="s">
        <v>25</v>
      </c>
      <c r="AH330" s="20">
        <v>64</v>
      </c>
      <c r="AI330" s="20" t="s">
        <v>4928</v>
      </c>
      <c r="AJ330" s="115">
        <v>25000</v>
      </c>
      <c r="AK330" s="20">
        <v>0</v>
      </c>
      <c r="AL330" s="20">
        <f t="shared" si="89"/>
        <v>483</v>
      </c>
      <c r="AM330" s="20">
        <f t="shared" si="90"/>
        <v>12075000</v>
      </c>
      <c r="AN330" s="20"/>
    </row>
    <row r="331" spans="17:44">
      <c r="Q331" s="97" t="s">
        <v>4820</v>
      </c>
      <c r="R331" s="93">
        <v>250000</v>
      </c>
      <c r="T331" s="19" t="s">
        <v>5506</v>
      </c>
      <c r="U331" s="19">
        <v>846</v>
      </c>
      <c r="V331" s="115">
        <v>1441.6724569999999</v>
      </c>
      <c r="W331" s="115">
        <f t="shared" si="80"/>
        <v>1219654.8986219999</v>
      </c>
      <c r="X331" s="276" t="s">
        <v>5143</v>
      </c>
      <c r="Y331" t="s">
        <v>25</v>
      </c>
      <c r="AH331" s="147">
        <v>65</v>
      </c>
      <c r="AI331" s="147" t="s">
        <v>4928</v>
      </c>
      <c r="AJ331" s="186">
        <v>35000</v>
      </c>
      <c r="AK331" s="147">
        <v>7</v>
      </c>
      <c r="AL331" s="147">
        <f t="shared" si="89"/>
        <v>483</v>
      </c>
      <c r="AM331" s="147">
        <f t="shared" si="90"/>
        <v>16905000</v>
      </c>
      <c r="AN331" s="147"/>
    </row>
    <row r="332" spans="17:44">
      <c r="Q332" s="97" t="s">
        <v>4902</v>
      </c>
      <c r="R332" s="93">
        <v>1403460</v>
      </c>
      <c r="T332" s="19" t="s">
        <v>5507</v>
      </c>
      <c r="U332" s="19">
        <v>10573</v>
      </c>
      <c r="V332" s="115">
        <v>1451.825</v>
      </c>
      <c r="W332" s="115">
        <f t="shared" si="80"/>
        <v>15350145.725</v>
      </c>
      <c r="X332" s="276" t="s">
        <v>5143</v>
      </c>
      <c r="Y332" t="s">
        <v>25</v>
      </c>
      <c r="AA332" t="s">
        <v>25</v>
      </c>
      <c r="AH332" s="147">
        <v>66</v>
      </c>
      <c r="AI332" s="147" t="s">
        <v>4936</v>
      </c>
      <c r="AJ332" s="186">
        <v>30000000</v>
      </c>
      <c r="AK332" s="147">
        <v>0</v>
      </c>
      <c r="AL332" s="147">
        <f t="shared" ref="AL332:AL351" si="91">AK332+AL333</f>
        <v>476</v>
      </c>
      <c r="AM332" s="147">
        <f t="shared" ref="AM332:AM351" si="92">AJ332*AL332</f>
        <v>14280000000</v>
      </c>
      <c r="AN332" s="147"/>
      <c r="AR332" t="s">
        <v>25</v>
      </c>
    </row>
    <row r="333" spans="17:44" ht="30">
      <c r="Q333" s="97" t="s">
        <v>4905</v>
      </c>
      <c r="R333" s="93">
        <v>200000</v>
      </c>
      <c r="T333" s="19" t="s">
        <v>5508</v>
      </c>
      <c r="U333" s="19">
        <v>85</v>
      </c>
      <c r="V333" s="115">
        <v>1423.74</v>
      </c>
      <c r="W333" s="115">
        <f t="shared" si="80"/>
        <v>121017.9</v>
      </c>
      <c r="X333" s="276" t="s">
        <v>5509</v>
      </c>
      <c r="AA333" t="s">
        <v>25</v>
      </c>
      <c r="AH333" s="20">
        <v>67</v>
      </c>
      <c r="AI333" s="20" t="s">
        <v>4936</v>
      </c>
      <c r="AJ333" s="115">
        <v>6800000</v>
      </c>
      <c r="AK333" s="20">
        <v>1</v>
      </c>
      <c r="AL333" s="20">
        <f t="shared" si="91"/>
        <v>476</v>
      </c>
      <c r="AM333" s="20">
        <f t="shared" si="92"/>
        <v>3236800000</v>
      </c>
      <c r="AN333" s="20"/>
    </row>
    <row r="334" spans="17:44" ht="30">
      <c r="Q334" s="97" t="s">
        <v>4910</v>
      </c>
      <c r="R334" s="93">
        <v>345000</v>
      </c>
      <c r="T334" s="19" t="s">
        <v>5512</v>
      </c>
      <c r="U334" s="19">
        <v>738</v>
      </c>
      <c r="V334" s="115">
        <v>1388.87895</v>
      </c>
      <c r="W334" s="115">
        <f t="shared" si="80"/>
        <v>1024992.6651</v>
      </c>
      <c r="X334" s="276" t="s">
        <v>5520</v>
      </c>
      <c r="AH334" s="20">
        <v>68</v>
      </c>
      <c r="AI334" s="20" t="s">
        <v>4939</v>
      </c>
      <c r="AJ334" s="115">
        <v>500000</v>
      </c>
      <c r="AK334" s="20">
        <v>1</v>
      </c>
      <c r="AL334" s="20">
        <f t="shared" si="91"/>
        <v>475</v>
      </c>
      <c r="AM334" s="20">
        <f t="shared" si="92"/>
        <v>237500000</v>
      </c>
      <c r="AN334" s="20"/>
    </row>
    <row r="335" spans="17:44">
      <c r="Q335" s="97" t="s">
        <v>4915</v>
      </c>
      <c r="R335" s="93">
        <v>900000</v>
      </c>
      <c r="T335" s="19" t="s">
        <v>5528</v>
      </c>
      <c r="U335" s="19">
        <v>1442</v>
      </c>
      <c r="V335" s="115">
        <v>1350.9547279999999</v>
      </c>
      <c r="W335" s="115">
        <f t="shared" si="80"/>
        <v>1948076.7177759998</v>
      </c>
      <c r="X335" s="276" t="s">
        <v>5143</v>
      </c>
      <c r="Z335" t="s">
        <v>25</v>
      </c>
      <c r="AH335" s="20">
        <v>69</v>
      </c>
      <c r="AI335" s="20" t="s">
        <v>4945</v>
      </c>
      <c r="AJ335" s="115">
        <v>850000</v>
      </c>
      <c r="AK335" s="20">
        <v>5</v>
      </c>
      <c r="AL335" s="20">
        <f t="shared" si="91"/>
        <v>474</v>
      </c>
      <c r="AM335" s="20">
        <f t="shared" si="92"/>
        <v>402900000</v>
      </c>
      <c r="AN335" s="20"/>
    </row>
    <row r="336" spans="17:44">
      <c r="Q336" s="97" t="s">
        <v>4918</v>
      </c>
      <c r="R336" s="93">
        <v>372517</v>
      </c>
      <c r="T336" s="19" t="s">
        <v>5529</v>
      </c>
      <c r="U336" s="19">
        <v>36847</v>
      </c>
      <c r="V336" s="115">
        <v>1356.9658300000001</v>
      </c>
      <c r="W336" s="115">
        <f t="shared" si="80"/>
        <v>50000119.938010007</v>
      </c>
      <c r="X336" s="276" t="s">
        <v>5148</v>
      </c>
      <c r="AH336" s="20">
        <v>70</v>
      </c>
      <c r="AI336" s="20" t="s">
        <v>4954</v>
      </c>
      <c r="AJ336" s="115">
        <v>1130250</v>
      </c>
      <c r="AK336" s="20">
        <v>0</v>
      </c>
      <c r="AL336" s="20">
        <f t="shared" si="91"/>
        <v>469</v>
      </c>
      <c r="AM336" s="20">
        <f t="shared" si="92"/>
        <v>530087250</v>
      </c>
      <c r="AN336" s="20"/>
      <c r="AR336" t="s">
        <v>25</v>
      </c>
    </row>
    <row r="337" spans="17:46" ht="30">
      <c r="Q337" s="97" t="s">
        <v>4926</v>
      </c>
      <c r="R337" s="93">
        <v>6489257</v>
      </c>
      <c r="T337" s="19" t="s">
        <v>5530</v>
      </c>
      <c r="U337" s="19">
        <v>13738</v>
      </c>
      <c r="V337" s="115">
        <v>1455.82</v>
      </c>
      <c r="W337" s="115">
        <f t="shared" si="80"/>
        <v>20000055.16</v>
      </c>
      <c r="X337" s="276" t="s">
        <v>5551</v>
      </c>
      <c r="Y337" t="s">
        <v>25</v>
      </c>
      <c r="AH337" s="252">
        <v>71</v>
      </c>
      <c r="AI337" s="252" t="s">
        <v>4954</v>
      </c>
      <c r="AJ337" s="243">
        <v>30000</v>
      </c>
      <c r="AK337" s="252">
        <v>5</v>
      </c>
      <c r="AL337" s="252">
        <f t="shared" si="91"/>
        <v>469</v>
      </c>
      <c r="AM337" s="252">
        <f t="shared" si="92"/>
        <v>14070000</v>
      </c>
      <c r="AN337" s="252"/>
      <c r="AS337" t="s">
        <v>25</v>
      </c>
    </row>
    <row r="338" spans="17:46">
      <c r="Q338" s="97" t="s">
        <v>4962</v>
      </c>
      <c r="R338" s="93">
        <v>618000</v>
      </c>
      <c r="T338" s="19" t="s">
        <v>5561</v>
      </c>
      <c r="U338" s="19">
        <v>3100</v>
      </c>
      <c r="V338" s="115">
        <v>1853.4507470000001</v>
      </c>
      <c r="W338" s="115">
        <f t="shared" si="80"/>
        <v>5745697.3157000002</v>
      </c>
      <c r="X338" s="276" t="s">
        <v>5143</v>
      </c>
      <c r="AH338" s="20">
        <v>72</v>
      </c>
      <c r="AI338" s="20" t="s">
        <v>4962</v>
      </c>
      <c r="AJ338" s="115">
        <v>206000</v>
      </c>
      <c r="AK338" s="20">
        <v>0</v>
      </c>
      <c r="AL338" s="20">
        <f t="shared" si="91"/>
        <v>464</v>
      </c>
      <c r="AM338" s="20">
        <f t="shared" si="92"/>
        <v>95584000</v>
      </c>
      <c r="AN338" s="20"/>
      <c r="AR338" t="s">
        <v>25</v>
      </c>
      <c r="AT338" s="94" t="s">
        <v>25</v>
      </c>
    </row>
    <row r="339" spans="17:46">
      <c r="Q339" s="97" t="s">
        <v>4973</v>
      </c>
      <c r="R339" s="93">
        <v>20105000</v>
      </c>
      <c r="T339" s="19" t="s">
        <v>5562</v>
      </c>
      <c r="U339" s="19">
        <v>480</v>
      </c>
      <c r="V339" s="115">
        <v>1891.9962069999999</v>
      </c>
      <c r="W339" s="115">
        <f t="shared" si="80"/>
        <v>908158.17935999995</v>
      </c>
      <c r="X339" s="276" t="s">
        <v>5143</v>
      </c>
      <c r="Y339" t="s">
        <v>25</v>
      </c>
      <c r="AH339" s="147">
        <v>73</v>
      </c>
      <c r="AI339" s="147" t="s">
        <v>4962</v>
      </c>
      <c r="AJ339" s="186">
        <v>206000</v>
      </c>
      <c r="AK339" s="147">
        <v>2</v>
      </c>
      <c r="AL339" s="147">
        <f t="shared" si="91"/>
        <v>464</v>
      </c>
      <c r="AM339" s="147">
        <f t="shared" si="92"/>
        <v>95584000</v>
      </c>
      <c r="AN339" s="147"/>
      <c r="AS339" t="s">
        <v>25</v>
      </c>
    </row>
    <row r="340" spans="17:46">
      <c r="Q340" s="97" t="s">
        <v>4977</v>
      </c>
      <c r="R340" s="93">
        <v>-21079990</v>
      </c>
      <c r="T340" s="19" t="s">
        <v>5563</v>
      </c>
      <c r="U340" s="19">
        <v>6522</v>
      </c>
      <c r="V340" s="115">
        <v>1938.4694340000001</v>
      </c>
      <c r="W340" s="115">
        <f t="shared" si="80"/>
        <v>12642697.648548001</v>
      </c>
      <c r="X340" s="276" t="s">
        <v>5143</v>
      </c>
      <c r="AH340" s="20">
        <v>74</v>
      </c>
      <c r="AI340" s="20" t="s">
        <v>4969</v>
      </c>
      <c r="AJ340" s="115">
        <v>50000</v>
      </c>
      <c r="AK340" s="20">
        <v>0</v>
      </c>
      <c r="AL340" s="20">
        <f t="shared" si="91"/>
        <v>462</v>
      </c>
      <c r="AM340" s="20">
        <f t="shared" si="92"/>
        <v>23100000</v>
      </c>
      <c r="AN340" s="20"/>
    </row>
    <row r="341" spans="17:46">
      <c r="Q341" s="97" t="s">
        <v>4978</v>
      </c>
      <c r="R341" s="93">
        <v>-5949277</v>
      </c>
      <c r="T341" s="19" t="s">
        <v>5564</v>
      </c>
      <c r="U341" s="19">
        <v>6197</v>
      </c>
      <c r="V341" s="115">
        <v>1984.3985499999999</v>
      </c>
      <c r="W341" s="115">
        <f t="shared" si="80"/>
        <v>12297317.81435</v>
      </c>
      <c r="X341" s="276" t="s">
        <v>5143</v>
      </c>
      <c r="AH341" s="252">
        <v>75</v>
      </c>
      <c r="AI341" s="252" t="s">
        <v>4969</v>
      </c>
      <c r="AJ341" s="243">
        <v>50000</v>
      </c>
      <c r="AK341" s="252">
        <v>2</v>
      </c>
      <c r="AL341" s="252">
        <f t="shared" si="91"/>
        <v>462</v>
      </c>
      <c r="AM341" s="252">
        <f t="shared" si="92"/>
        <v>23100000</v>
      </c>
      <c r="AN341" s="252"/>
    </row>
    <row r="342" spans="17:46">
      <c r="Q342" s="97" t="s">
        <v>4984</v>
      </c>
      <c r="R342" s="93">
        <v>-15370656</v>
      </c>
      <c r="T342" s="19" t="s">
        <v>5565</v>
      </c>
      <c r="U342" s="19">
        <v>4646</v>
      </c>
      <c r="V342" s="115">
        <v>1928.464023</v>
      </c>
      <c r="W342" s="115">
        <f t="shared" si="80"/>
        <v>8959643.8508579992</v>
      </c>
      <c r="X342" s="276" t="s">
        <v>5143</v>
      </c>
      <c r="Y342" t="s">
        <v>25</v>
      </c>
      <c r="AH342" s="20">
        <v>76</v>
      </c>
      <c r="AI342" s="20" t="s">
        <v>4973</v>
      </c>
      <c r="AJ342" s="115">
        <v>20000000</v>
      </c>
      <c r="AK342" s="20">
        <v>7</v>
      </c>
      <c r="AL342" s="20">
        <f t="shared" si="91"/>
        <v>460</v>
      </c>
      <c r="AM342" s="20">
        <f t="shared" si="92"/>
        <v>9200000000</v>
      </c>
      <c r="AN342" s="20" t="s">
        <v>4974</v>
      </c>
    </row>
    <row r="343" spans="17:46">
      <c r="Q343" s="97" t="s">
        <v>4990</v>
      </c>
      <c r="R343" s="93">
        <v>4960000</v>
      </c>
      <c r="T343" s="19" t="s">
        <v>5566</v>
      </c>
      <c r="U343" s="19">
        <v>7668</v>
      </c>
      <c r="V343" s="115">
        <v>1976.2774959999999</v>
      </c>
      <c r="W343" s="115">
        <f t="shared" si="80"/>
        <v>15154095.839328</v>
      </c>
      <c r="X343" s="276" t="s">
        <v>5143</v>
      </c>
      <c r="Y343" t="s">
        <v>25</v>
      </c>
      <c r="AH343" s="20">
        <v>77</v>
      </c>
      <c r="AI343" s="20" t="s">
        <v>4984</v>
      </c>
      <c r="AJ343" s="115">
        <v>50000</v>
      </c>
      <c r="AK343" s="20">
        <v>0</v>
      </c>
      <c r="AL343" s="20">
        <f t="shared" si="91"/>
        <v>453</v>
      </c>
      <c r="AM343" s="20">
        <f t="shared" si="92"/>
        <v>22650000</v>
      </c>
      <c r="AN343" s="20"/>
    </row>
    <row r="344" spans="17:46" ht="30">
      <c r="Q344" s="97" t="s">
        <v>4990</v>
      </c>
      <c r="R344" s="93">
        <v>10000000</v>
      </c>
      <c r="S344" s="112"/>
      <c r="T344" s="19" t="s">
        <v>5577</v>
      </c>
      <c r="U344" s="19">
        <v>-43325</v>
      </c>
      <c r="V344" s="115">
        <v>2146.5548840000001</v>
      </c>
      <c r="W344" s="115">
        <f t="shared" si="80"/>
        <v>-92999490.349300012</v>
      </c>
      <c r="X344" s="276" t="s">
        <v>5578</v>
      </c>
      <c r="AH344" s="147">
        <v>78</v>
      </c>
      <c r="AI344" s="147" t="s">
        <v>4984</v>
      </c>
      <c r="AJ344" s="186">
        <v>50000</v>
      </c>
      <c r="AK344" s="147">
        <v>7</v>
      </c>
      <c r="AL344" s="147">
        <f t="shared" si="91"/>
        <v>453</v>
      </c>
      <c r="AM344" s="147">
        <f t="shared" si="92"/>
        <v>22650000</v>
      </c>
      <c r="AN344" s="147"/>
    </row>
    <row r="345" spans="17:46">
      <c r="Q345" s="97" t="s">
        <v>4997</v>
      </c>
      <c r="R345" s="93">
        <v>-40570100</v>
      </c>
      <c r="T345" s="187" t="s">
        <v>5577</v>
      </c>
      <c r="U345" s="187">
        <v>-589</v>
      </c>
      <c r="V345" s="186">
        <v>2146.5548840000001</v>
      </c>
      <c r="W345" s="186">
        <f t="shared" si="80"/>
        <v>-1264320.8266760001</v>
      </c>
      <c r="X345" s="275" t="s">
        <v>5583</v>
      </c>
      <c r="AH345" s="20">
        <v>79</v>
      </c>
      <c r="AI345" s="20" t="s">
        <v>4990</v>
      </c>
      <c r="AJ345" s="115">
        <v>2480000</v>
      </c>
      <c r="AK345" s="20">
        <v>0</v>
      </c>
      <c r="AL345" s="20">
        <f t="shared" si="91"/>
        <v>446</v>
      </c>
      <c r="AM345" s="20">
        <f t="shared" si="92"/>
        <v>1106080000</v>
      </c>
      <c r="AN345" s="20"/>
    </row>
    <row r="346" spans="17:46">
      <c r="Q346" s="97" t="s">
        <v>5006</v>
      </c>
      <c r="R346" s="93">
        <v>1000000</v>
      </c>
      <c r="T346" s="19" t="s">
        <v>5587</v>
      </c>
      <c r="U346" s="19">
        <v>20888</v>
      </c>
      <c r="V346" s="115">
        <v>2428.4521530000002</v>
      </c>
      <c r="W346" s="115">
        <f t="shared" si="80"/>
        <v>50725508.571864001</v>
      </c>
      <c r="X346" s="276" t="s">
        <v>5143</v>
      </c>
      <c r="Y346" t="s">
        <v>25</v>
      </c>
      <c r="AH346" s="147">
        <v>80</v>
      </c>
      <c r="AI346" s="147" t="s">
        <v>4990</v>
      </c>
      <c r="AJ346" s="186">
        <v>2480000</v>
      </c>
      <c r="AK346" s="147">
        <v>12</v>
      </c>
      <c r="AL346" s="147">
        <f t="shared" si="91"/>
        <v>446</v>
      </c>
      <c r="AM346" s="147">
        <f t="shared" si="92"/>
        <v>1106080000</v>
      </c>
      <c r="AN346" s="147"/>
    </row>
    <row r="347" spans="17:46">
      <c r="Q347" s="97" t="s">
        <v>5007</v>
      </c>
      <c r="R347" s="93">
        <v>400000</v>
      </c>
      <c r="T347" s="19" t="s">
        <v>5589</v>
      </c>
      <c r="U347" s="19">
        <v>21663</v>
      </c>
      <c r="V347" s="115">
        <v>2308.0067819999999</v>
      </c>
      <c r="W347" s="115">
        <f t="shared" si="80"/>
        <v>49998350.918466002</v>
      </c>
      <c r="X347" s="276" t="s">
        <v>5592</v>
      </c>
      <c r="AH347" s="20">
        <v>81</v>
      </c>
      <c r="AI347" s="20" t="s">
        <v>4997</v>
      </c>
      <c r="AJ347" s="115">
        <v>-24159500</v>
      </c>
      <c r="AK347" s="20">
        <v>4</v>
      </c>
      <c r="AL347" s="20">
        <f t="shared" si="91"/>
        <v>434</v>
      </c>
      <c r="AM347" s="20">
        <f t="shared" si="92"/>
        <v>-10485223000</v>
      </c>
      <c r="AN347" s="20" t="s">
        <v>5005</v>
      </c>
    </row>
    <row r="348" spans="17:46">
      <c r="Q348" s="97" t="s">
        <v>5014</v>
      </c>
      <c r="R348" s="93">
        <v>120000</v>
      </c>
      <c r="T348" s="19" t="s">
        <v>5589</v>
      </c>
      <c r="U348" s="19">
        <v>977</v>
      </c>
      <c r="V348" s="115">
        <v>2335.6821479999999</v>
      </c>
      <c r="W348" s="115">
        <f t="shared" si="80"/>
        <v>2281961.458596</v>
      </c>
      <c r="X348" s="276" t="s">
        <v>5143</v>
      </c>
      <c r="AH348" s="20">
        <v>82</v>
      </c>
      <c r="AI348" s="20" t="s">
        <v>5007</v>
      </c>
      <c r="AJ348" s="115">
        <v>400000</v>
      </c>
      <c r="AK348" s="20">
        <v>3</v>
      </c>
      <c r="AL348" s="20">
        <f t="shared" si="91"/>
        <v>430</v>
      </c>
      <c r="AM348" s="20">
        <f t="shared" si="92"/>
        <v>172000000</v>
      </c>
      <c r="AN348" s="20"/>
    </row>
    <row r="349" spans="17:46">
      <c r="Q349" s="97" t="s">
        <v>5029</v>
      </c>
      <c r="R349" s="93">
        <v>500000</v>
      </c>
      <c r="T349" s="19" t="s">
        <v>5596</v>
      </c>
      <c r="U349" s="19">
        <v>4155</v>
      </c>
      <c r="V349" s="115">
        <v>2647</v>
      </c>
      <c r="W349" s="115">
        <f t="shared" si="80"/>
        <v>10998285</v>
      </c>
      <c r="X349" s="276" t="s">
        <v>5143</v>
      </c>
      <c r="AH349" s="147">
        <v>83</v>
      </c>
      <c r="AI349" s="147" t="s">
        <v>5014</v>
      </c>
      <c r="AJ349" s="186">
        <v>40000</v>
      </c>
      <c r="AK349" s="147">
        <v>0</v>
      </c>
      <c r="AL349" s="147">
        <f t="shared" si="91"/>
        <v>427</v>
      </c>
      <c r="AM349" s="147">
        <f t="shared" si="92"/>
        <v>17080000</v>
      </c>
      <c r="AN349" s="147"/>
    </row>
    <row r="350" spans="17:46">
      <c r="Q350" s="97" t="s">
        <v>5019</v>
      </c>
      <c r="R350" s="93">
        <v>744000</v>
      </c>
      <c r="T350" s="19" t="s">
        <v>5597</v>
      </c>
      <c r="U350" s="19">
        <v>351</v>
      </c>
      <c r="V350" s="115">
        <v>2800.6238229999999</v>
      </c>
      <c r="W350" s="115">
        <f t="shared" si="80"/>
        <v>983018.96187300002</v>
      </c>
      <c r="X350" s="276" t="s">
        <v>5143</v>
      </c>
      <c r="AH350" s="20">
        <v>84</v>
      </c>
      <c r="AI350" s="20" t="s">
        <v>5014</v>
      </c>
      <c r="AJ350" s="115">
        <v>40000</v>
      </c>
      <c r="AK350" s="20">
        <v>5</v>
      </c>
      <c r="AL350" s="20">
        <f t="shared" si="91"/>
        <v>427</v>
      </c>
      <c r="AM350" s="20">
        <f t="shared" si="92"/>
        <v>17080000</v>
      </c>
      <c r="AN350" s="20"/>
    </row>
    <row r="351" spans="17:46">
      <c r="Q351" s="97" t="s">
        <v>5045</v>
      </c>
      <c r="R351" s="93">
        <v>65000</v>
      </c>
      <c r="T351" s="19" t="s">
        <v>5599</v>
      </c>
      <c r="U351" s="19">
        <v>5877</v>
      </c>
      <c r="V351" s="115">
        <v>2901.0160000000001</v>
      </c>
      <c r="W351" s="115">
        <f t="shared" si="80"/>
        <v>17049271.032000002</v>
      </c>
      <c r="X351" s="276" t="s">
        <v>5143</v>
      </c>
      <c r="AH351" s="20">
        <v>85</v>
      </c>
      <c r="AI351" s="20" t="s">
        <v>5023</v>
      </c>
      <c r="AJ351" s="115">
        <v>200000</v>
      </c>
      <c r="AK351" s="20">
        <v>1</v>
      </c>
      <c r="AL351" s="20">
        <f t="shared" si="91"/>
        <v>422</v>
      </c>
      <c r="AM351" s="20">
        <f t="shared" si="92"/>
        <v>84400000</v>
      </c>
      <c r="AN351" s="20"/>
    </row>
    <row r="352" spans="17:46">
      <c r="Q352" s="97" t="s">
        <v>5051</v>
      </c>
      <c r="R352" s="93">
        <v>-14053702</v>
      </c>
      <c r="T352" s="19" t="s">
        <v>5602</v>
      </c>
      <c r="U352" s="19">
        <v>2374</v>
      </c>
      <c r="V352" s="115">
        <v>2877</v>
      </c>
      <c r="W352" s="115">
        <f t="shared" ref="W352:W426" si="93">U352*V352</f>
        <v>6829998</v>
      </c>
      <c r="X352" s="276" t="s">
        <v>5143</v>
      </c>
      <c r="Y352" t="s">
        <v>25</v>
      </c>
      <c r="Z352" t="s">
        <v>25</v>
      </c>
      <c r="AH352" s="20">
        <v>86</v>
      </c>
      <c r="AI352" s="20" t="s">
        <v>5027</v>
      </c>
      <c r="AJ352" s="115">
        <v>500000</v>
      </c>
      <c r="AK352" s="20">
        <v>2</v>
      </c>
      <c r="AL352" s="20">
        <f t="shared" ref="AL352:AL381" si="94">AK352+AL353</f>
        <v>421</v>
      </c>
      <c r="AM352" s="20">
        <f t="shared" ref="AM352:AM381" si="95">AJ352*AL352</f>
        <v>210500000</v>
      </c>
      <c r="AN352" s="20"/>
    </row>
    <row r="353" spans="17:45">
      <c r="Q353" s="97" t="s">
        <v>5020</v>
      </c>
      <c r="R353" s="93">
        <v>3555678</v>
      </c>
      <c r="S353" t="s">
        <v>25</v>
      </c>
      <c r="T353" s="19" t="s">
        <v>4214</v>
      </c>
      <c r="U353" s="19">
        <v>2532</v>
      </c>
      <c r="V353" s="115">
        <v>2757.7444</v>
      </c>
      <c r="W353" s="115">
        <f t="shared" si="93"/>
        <v>6982608.8207999999</v>
      </c>
      <c r="X353" s="276" t="s">
        <v>5143</v>
      </c>
      <c r="AH353" s="20">
        <v>87</v>
      </c>
      <c r="AI353" s="20" t="s">
        <v>5029</v>
      </c>
      <c r="AJ353" s="115">
        <v>500000</v>
      </c>
      <c r="AK353" s="20">
        <v>3</v>
      </c>
      <c r="AL353" s="20">
        <f t="shared" si="94"/>
        <v>419</v>
      </c>
      <c r="AM353" s="20">
        <f t="shared" si="95"/>
        <v>209500000</v>
      </c>
      <c r="AN353" s="20"/>
    </row>
    <row r="354" spans="17:45">
      <c r="Q354" s="97" t="s">
        <v>5087</v>
      </c>
      <c r="R354" s="93">
        <v>3495</v>
      </c>
      <c r="T354" s="19" t="s">
        <v>4214</v>
      </c>
      <c r="U354" s="19">
        <v>4987</v>
      </c>
      <c r="V354" s="115">
        <v>2757.7444</v>
      </c>
      <c r="W354" s="115">
        <f t="shared" si="93"/>
        <v>13752871.322800001</v>
      </c>
      <c r="X354" s="276" t="s">
        <v>5619</v>
      </c>
      <c r="Y354" t="s">
        <v>25</v>
      </c>
      <c r="AH354" s="20">
        <v>88</v>
      </c>
      <c r="AI354" s="20" t="s">
        <v>5019</v>
      </c>
      <c r="AJ354" s="115">
        <v>250000</v>
      </c>
      <c r="AK354" s="20">
        <v>0</v>
      </c>
      <c r="AL354" s="20">
        <f t="shared" si="94"/>
        <v>416</v>
      </c>
      <c r="AM354" s="20">
        <f t="shared" si="95"/>
        <v>104000000</v>
      </c>
      <c r="AN354" s="20"/>
    </row>
    <row r="355" spans="17:45">
      <c r="Q355" s="97" t="s">
        <v>5093</v>
      </c>
      <c r="R355" s="93">
        <v>6000000</v>
      </c>
      <c r="T355" s="19" t="s">
        <v>4214</v>
      </c>
      <c r="U355" s="19">
        <v>997</v>
      </c>
      <c r="V355" s="115">
        <v>2757.7444</v>
      </c>
      <c r="W355" s="115">
        <f t="shared" si="93"/>
        <v>2749471.1668000002</v>
      </c>
      <c r="X355" s="276" t="s">
        <v>5620</v>
      </c>
      <c r="Y355" t="s">
        <v>25</v>
      </c>
      <c r="Z355" t="s">
        <v>25</v>
      </c>
      <c r="AH355" s="252">
        <v>89</v>
      </c>
      <c r="AI355" s="252" t="s">
        <v>5019</v>
      </c>
      <c r="AJ355" s="243">
        <v>245000</v>
      </c>
      <c r="AK355" s="252">
        <v>16</v>
      </c>
      <c r="AL355" s="252">
        <f t="shared" si="94"/>
        <v>416</v>
      </c>
      <c r="AM355" s="252">
        <f t="shared" si="95"/>
        <v>101920000</v>
      </c>
      <c r="AN355" s="252"/>
    </row>
    <row r="356" spans="17:45" ht="30">
      <c r="Q356" s="97" t="s">
        <v>5096</v>
      </c>
      <c r="R356" s="93">
        <v>17220</v>
      </c>
      <c r="T356" s="187" t="s">
        <v>5623</v>
      </c>
      <c r="U356" s="187">
        <v>-18</v>
      </c>
      <c r="V356" s="186">
        <v>2675</v>
      </c>
      <c r="W356" s="186">
        <f t="shared" si="93"/>
        <v>-48150</v>
      </c>
      <c r="X356" s="275" t="s">
        <v>5624</v>
      </c>
      <c r="AH356" s="20">
        <v>90</v>
      </c>
      <c r="AI356" s="20" t="s">
        <v>5055</v>
      </c>
      <c r="AJ356" s="115">
        <v>312598</v>
      </c>
      <c r="AK356" s="20">
        <v>0</v>
      </c>
      <c r="AL356" s="20">
        <f t="shared" si="94"/>
        <v>400</v>
      </c>
      <c r="AM356" s="20">
        <f t="shared" si="95"/>
        <v>125039200</v>
      </c>
      <c r="AN356" s="20"/>
    </row>
    <row r="357" spans="17:45">
      <c r="Q357" s="97" t="s">
        <v>5097</v>
      </c>
      <c r="R357" s="93">
        <v>8249</v>
      </c>
      <c r="T357" s="19" t="s">
        <v>5626</v>
      </c>
      <c r="U357" s="19">
        <v>2874</v>
      </c>
      <c r="V357" s="115">
        <v>2613.1284000000001</v>
      </c>
      <c r="W357" s="115">
        <f t="shared" si="93"/>
        <v>7510131.0216000006</v>
      </c>
      <c r="X357" s="276" t="s">
        <v>5143</v>
      </c>
      <c r="AH357" s="20">
        <v>91</v>
      </c>
      <c r="AI357" s="20" t="s">
        <v>5055</v>
      </c>
      <c r="AJ357" s="115">
        <v>780000</v>
      </c>
      <c r="AK357" s="20">
        <v>0</v>
      </c>
      <c r="AL357" s="20">
        <f t="shared" si="94"/>
        <v>400</v>
      </c>
      <c r="AM357" s="20">
        <f t="shared" si="95"/>
        <v>312000000</v>
      </c>
      <c r="AN357" s="20"/>
    </row>
    <row r="358" spans="17:45" ht="18" customHeight="1">
      <c r="Q358" s="97" t="s">
        <v>5099</v>
      </c>
      <c r="R358" s="93">
        <v>6937</v>
      </c>
      <c r="T358" s="19" t="s">
        <v>5633</v>
      </c>
      <c r="U358" s="19">
        <v>2847</v>
      </c>
      <c r="V358" s="115">
        <v>2556.3841000000002</v>
      </c>
      <c r="W358" s="115">
        <f t="shared" si="93"/>
        <v>7278025.5327000003</v>
      </c>
      <c r="X358" s="276" t="s">
        <v>5143</v>
      </c>
      <c r="AH358" s="193">
        <v>92</v>
      </c>
      <c r="AI358" s="193" t="s">
        <v>5055</v>
      </c>
      <c r="AJ358" s="194">
        <v>-300000</v>
      </c>
      <c r="AK358" s="193">
        <v>1</v>
      </c>
      <c r="AL358" s="193">
        <f t="shared" si="94"/>
        <v>400</v>
      </c>
      <c r="AM358" s="193">
        <f t="shared" si="95"/>
        <v>-120000000</v>
      </c>
      <c r="AN358" s="193"/>
      <c r="AS358" t="s">
        <v>25</v>
      </c>
    </row>
    <row r="359" spans="17:45" ht="21" customHeight="1">
      <c r="Q359" s="97" t="s">
        <v>5099</v>
      </c>
      <c r="R359" s="93">
        <v>4046552</v>
      </c>
      <c r="T359" s="19" t="s">
        <v>5633</v>
      </c>
      <c r="U359" s="19">
        <v>1222</v>
      </c>
      <c r="V359" s="115">
        <v>2556.3841000000002</v>
      </c>
      <c r="W359" s="115">
        <f t="shared" si="93"/>
        <v>3123901.3702000002</v>
      </c>
      <c r="X359" s="276" t="s">
        <v>5634</v>
      </c>
      <c r="AH359" s="20">
        <v>93</v>
      </c>
      <c r="AI359" s="20" t="s">
        <v>5020</v>
      </c>
      <c r="AJ359" s="115">
        <v>300000</v>
      </c>
      <c r="AK359" s="20">
        <v>0</v>
      </c>
      <c r="AL359" s="20">
        <f t="shared" si="94"/>
        <v>399</v>
      </c>
      <c r="AM359" s="20">
        <f t="shared" si="95"/>
        <v>119700000</v>
      </c>
      <c r="AN359" s="20"/>
    </row>
    <row r="360" spans="17:45">
      <c r="Q360" s="97" t="s">
        <v>5102</v>
      </c>
      <c r="R360" s="93">
        <v>-3884943</v>
      </c>
      <c r="T360" s="19" t="s">
        <v>5642</v>
      </c>
      <c r="U360" s="19">
        <v>73</v>
      </c>
      <c r="V360" s="115">
        <v>2672.0459999999998</v>
      </c>
      <c r="W360" s="115">
        <f t="shared" si="93"/>
        <v>195059.35799999998</v>
      </c>
      <c r="X360" s="276" t="s">
        <v>5143</v>
      </c>
      <c r="AH360" s="20">
        <v>94</v>
      </c>
      <c r="AI360" s="20" t="s">
        <v>5020</v>
      </c>
      <c r="AJ360" s="115">
        <v>8660000</v>
      </c>
      <c r="AK360" s="20">
        <v>8</v>
      </c>
      <c r="AL360" s="20">
        <f t="shared" si="94"/>
        <v>399</v>
      </c>
      <c r="AM360" s="20">
        <f t="shared" si="95"/>
        <v>3455340000</v>
      </c>
      <c r="AN360" s="20"/>
    </row>
    <row r="361" spans="17:45" ht="30">
      <c r="Q361" s="97" t="s">
        <v>5111</v>
      </c>
      <c r="R361" s="93">
        <v>6022</v>
      </c>
      <c r="T361" s="187" t="s">
        <v>5647</v>
      </c>
      <c r="U361" s="187">
        <v>-19</v>
      </c>
      <c r="V361" s="186">
        <v>2598.1260000000002</v>
      </c>
      <c r="W361" s="186">
        <f t="shared" si="93"/>
        <v>-49364.394</v>
      </c>
      <c r="X361" s="275" t="s">
        <v>5624</v>
      </c>
      <c r="AH361" s="147">
        <v>95</v>
      </c>
      <c r="AI361" s="147" t="s">
        <v>5072</v>
      </c>
      <c r="AJ361" s="186">
        <v>200000</v>
      </c>
      <c r="AK361" s="147">
        <v>3</v>
      </c>
      <c r="AL361" s="147">
        <f t="shared" si="94"/>
        <v>391</v>
      </c>
      <c r="AM361" s="147">
        <f t="shared" si="95"/>
        <v>78200000</v>
      </c>
      <c r="AN361" s="147"/>
    </row>
    <row r="362" spans="17:45" ht="18.75" customHeight="1">
      <c r="Q362" s="97" t="s">
        <v>5138</v>
      </c>
      <c r="R362" s="93">
        <v>400000</v>
      </c>
      <c r="T362" s="19" t="s">
        <v>5647</v>
      </c>
      <c r="U362" s="19">
        <v>332</v>
      </c>
      <c r="V362" s="115">
        <v>2598.1260000000002</v>
      </c>
      <c r="W362" s="115">
        <f t="shared" si="93"/>
        <v>862577.83200000005</v>
      </c>
      <c r="X362" s="276" t="s">
        <v>5648</v>
      </c>
      <c r="AH362" s="147">
        <v>96</v>
      </c>
      <c r="AI362" s="147" t="s">
        <v>5075</v>
      </c>
      <c r="AJ362" s="186">
        <v>20000</v>
      </c>
      <c r="AK362" s="147">
        <v>1</v>
      </c>
      <c r="AL362" s="147">
        <f t="shared" si="94"/>
        <v>388</v>
      </c>
      <c r="AM362" s="147">
        <f t="shared" si="95"/>
        <v>7760000</v>
      </c>
      <c r="AN362" s="147"/>
    </row>
    <row r="363" spans="17:45">
      <c r="Q363" s="97" t="s">
        <v>5142</v>
      </c>
      <c r="R363" s="93">
        <v>92847</v>
      </c>
      <c r="T363" s="19" t="s">
        <v>5649</v>
      </c>
      <c r="U363" s="19">
        <v>346</v>
      </c>
      <c r="V363" s="115">
        <v>2659.8510000000001</v>
      </c>
      <c r="W363" s="115">
        <f t="shared" si="93"/>
        <v>920308.446</v>
      </c>
      <c r="X363" s="276" t="s">
        <v>5143</v>
      </c>
      <c r="AH363" s="20">
        <v>97</v>
      </c>
      <c r="AI363" s="20" t="s">
        <v>5085</v>
      </c>
      <c r="AJ363" s="115">
        <v>14340000</v>
      </c>
      <c r="AK363" s="20">
        <v>7</v>
      </c>
      <c r="AL363" s="20">
        <f t="shared" si="94"/>
        <v>387</v>
      </c>
      <c r="AM363" s="20">
        <f t="shared" si="95"/>
        <v>5549580000</v>
      </c>
      <c r="AN363" s="20"/>
    </row>
    <row r="364" spans="17:45">
      <c r="Q364" s="97" t="s">
        <v>5142</v>
      </c>
      <c r="R364" s="93">
        <v>-100000</v>
      </c>
      <c r="T364" s="19" t="s">
        <v>5650</v>
      </c>
      <c r="U364" s="19">
        <v>1722</v>
      </c>
      <c r="V364" s="115">
        <v>2692.1079220000001</v>
      </c>
      <c r="W364" s="115">
        <f t="shared" si="93"/>
        <v>4635809.8416840006</v>
      </c>
      <c r="X364" s="276" t="s">
        <v>5143</v>
      </c>
      <c r="AB364" t="s">
        <v>25</v>
      </c>
      <c r="AH364" s="20">
        <v>98</v>
      </c>
      <c r="AI364" s="20" t="s">
        <v>5093</v>
      </c>
      <c r="AJ364" s="115">
        <v>10000000</v>
      </c>
      <c r="AK364" s="20">
        <v>6</v>
      </c>
      <c r="AL364" s="20">
        <f t="shared" si="94"/>
        <v>380</v>
      </c>
      <c r="AM364" s="20">
        <f t="shared" si="95"/>
        <v>3800000000</v>
      </c>
      <c r="AN364" s="20" t="s">
        <v>4691</v>
      </c>
    </row>
    <row r="365" spans="17:45" ht="30">
      <c r="Q365" s="97" t="s">
        <v>5146</v>
      </c>
      <c r="R365" s="93">
        <v>10000000</v>
      </c>
      <c r="T365" s="187" t="s">
        <v>5653</v>
      </c>
      <c r="U365" s="187">
        <v>-44</v>
      </c>
      <c r="V365" s="186">
        <v>2725.4</v>
      </c>
      <c r="W365" s="186">
        <f t="shared" si="93"/>
        <v>-119917.6</v>
      </c>
      <c r="X365" s="275" t="s">
        <v>5624</v>
      </c>
      <c r="AH365" s="20">
        <v>99</v>
      </c>
      <c r="AI365" s="20" t="s">
        <v>5099</v>
      </c>
      <c r="AJ365" s="115">
        <v>4033949</v>
      </c>
      <c r="AK365" s="20">
        <v>2</v>
      </c>
      <c r="AL365" s="20">
        <f t="shared" si="94"/>
        <v>374</v>
      </c>
      <c r="AM365" s="20">
        <f t="shared" si="95"/>
        <v>1508696926</v>
      </c>
      <c r="AN365" s="20" t="s">
        <v>5101</v>
      </c>
    </row>
    <row r="366" spans="17:45">
      <c r="Q366" s="97" t="s">
        <v>5151</v>
      </c>
      <c r="R366" s="93">
        <v>-400000</v>
      </c>
      <c r="T366" s="19" t="s">
        <v>5653</v>
      </c>
      <c r="U366" s="19">
        <v>106</v>
      </c>
      <c r="V366" s="115">
        <v>2725.4</v>
      </c>
      <c r="W366" s="115">
        <f t="shared" si="93"/>
        <v>288892.40000000002</v>
      </c>
      <c r="X366" s="276" t="s">
        <v>452</v>
      </c>
      <c r="AH366" s="147">
        <v>100</v>
      </c>
      <c r="AI366" s="147" t="s">
        <v>5105</v>
      </c>
      <c r="AJ366" s="186">
        <v>11500000</v>
      </c>
      <c r="AK366" s="147">
        <v>2</v>
      </c>
      <c r="AL366" s="147">
        <f t="shared" si="94"/>
        <v>372</v>
      </c>
      <c r="AM366" s="147">
        <f t="shared" si="95"/>
        <v>4278000000</v>
      </c>
      <c r="AN366" s="147" t="s">
        <v>5107</v>
      </c>
    </row>
    <row r="367" spans="17:45" ht="30">
      <c r="Q367" s="97" t="s">
        <v>5155</v>
      </c>
      <c r="R367" s="93">
        <v>5649</v>
      </c>
      <c r="T367" s="187" t="s">
        <v>5641</v>
      </c>
      <c r="U367" s="187">
        <v>-55</v>
      </c>
      <c r="V367" s="186">
        <v>2730.81</v>
      </c>
      <c r="W367" s="186">
        <f t="shared" si="93"/>
        <v>-150194.54999999999</v>
      </c>
      <c r="X367" s="275" t="s">
        <v>5624</v>
      </c>
      <c r="AH367" s="147">
        <v>101</v>
      </c>
      <c r="AI367" s="147" t="s">
        <v>5111</v>
      </c>
      <c r="AJ367" s="186">
        <v>250000</v>
      </c>
      <c r="AK367" s="147">
        <v>3</v>
      </c>
      <c r="AL367" s="147">
        <f t="shared" si="94"/>
        <v>370</v>
      </c>
      <c r="AM367" s="147">
        <f t="shared" si="95"/>
        <v>92500000</v>
      </c>
      <c r="AN367" s="147"/>
    </row>
    <row r="368" spans="17:45" ht="30">
      <c r="Q368" s="97" t="s">
        <v>5157</v>
      </c>
      <c r="R368" s="93">
        <v>460000</v>
      </c>
      <c r="T368" s="187" t="s">
        <v>5668</v>
      </c>
      <c r="U368" s="187">
        <v>-66</v>
      </c>
      <c r="V368" s="186">
        <v>3031</v>
      </c>
      <c r="W368" s="186">
        <f t="shared" si="93"/>
        <v>-200046</v>
      </c>
      <c r="X368" s="275" t="s">
        <v>5624</v>
      </c>
      <c r="AH368" s="147">
        <v>102</v>
      </c>
      <c r="AI368" s="147" t="s">
        <v>5136</v>
      </c>
      <c r="AJ368" s="186">
        <v>6000000</v>
      </c>
      <c r="AK368" s="147">
        <v>1</v>
      </c>
      <c r="AL368" s="147">
        <f t="shared" si="94"/>
        <v>367</v>
      </c>
      <c r="AM368" s="147">
        <f t="shared" si="95"/>
        <v>2202000000</v>
      </c>
      <c r="AN368" s="147" t="s">
        <v>5107</v>
      </c>
    </row>
    <row r="369" spans="16:45" ht="30">
      <c r="Q369" s="97" t="s">
        <v>5158</v>
      </c>
      <c r="R369" s="93">
        <v>1300000</v>
      </c>
      <c r="S369" t="s">
        <v>25</v>
      </c>
      <c r="T369" s="187" t="s">
        <v>5673</v>
      </c>
      <c r="U369" s="187">
        <v>-42</v>
      </c>
      <c r="V369" s="186">
        <v>2883</v>
      </c>
      <c r="W369" s="186">
        <f t="shared" si="93"/>
        <v>-121086</v>
      </c>
      <c r="X369" s="275" t="s">
        <v>5624</v>
      </c>
      <c r="AH369" s="147">
        <v>103</v>
      </c>
      <c r="AI369" s="147" t="s">
        <v>5138</v>
      </c>
      <c r="AJ369" s="186">
        <v>1500000</v>
      </c>
      <c r="AK369" s="147">
        <v>6</v>
      </c>
      <c r="AL369" s="147">
        <f t="shared" si="94"/>
        <v>366</v>
      </c>
      <c r="AM369" s="147">
        <f t="shared" si="95"/>
        <v>549000000</v>
      </c>
      <c r="AN369" s="147" t="s">
        <v>5107</v>
      </c>
    </row>
    <row r="370" spans="16:45">
      <c r="Q370" s="97" t="s">
        <v>5158</v>
      </c>
      <c r="R370" s="93">
        <v>7300000</v>
      </c>
      <c r="T370" s="19" t="s">
        <v>5686</v>
      </c>
      <c r="U370" s="19">
        <v>25901</v>
      </c>
      <c r="V370" s="115">
        <v>2258.9090000000001</v>
      </c>
      <c r="W370" s="115">
        <f t="shared" si="93"/>
        <v>58508002.009000003</v>
      </c>
      <c r="X370" s="276" t="s">
        <v>5143</v>
      </c>
      <c r="AH370" s="20">
        <v>104</v>
      </c>
      <c r="AI370" s="20" t="s">
        <v>960</v>
      </c>
      <c r="AJ370" s="115">
        <v>-3960043</v>
      </c>
      <c r="AK370" s="20">
        <v>2</v>
      </c>
      <c r="AL370" s="20">
        <f t="shared" si="94"/>
        <v>360</v>
      </c>
      <c r="AM370" s="20">
        <f t="shared" si="95"/>
        <v>-1425615480</v>
      </c>
      <c r="AN370" s="20"/>
    </row>
    <row r="371" spans="16:45">
      <c r="Q371" s="97" t="s">
        <v>977</v>
      </c>
      <c r="R371" s="93">
        <v>21203</v>
      </c>
      <c r="T371" s="19" t="s">
        <v>5688</v>
      </c>
      <c r="U371" s="19">
        <v>951</v>
      </c>
      <c r="V371" s="115">
        <v>2361.2150799999999</v>
      </c>
      <c r="W371" s="115">
        <f t="shared" si="93"/>
        <v>2245515.5410799999</v>
      </c>
      <c r="X371" s="276" t="s">
        <v>5143</v>
      </c>
      <c r="Z371" t="s">
        <v>25</v>
      </c>
      <c r="AH371" s="20">
        <v>105</v>
      </c>
      <c r="AI371" s="20" t="s">
        <v>5157</v>
      </c>
      <c r="AJ371" s="115">
        <v>230000</v>
      </c>
      <c r="AK371" s="20">
        <v>0</v>
      </c>
      <c r="AL371" s="20">
        <f t="shared" si="94"/>
        <v>358</v>
      </c>
      <c r="AM371" s="20">
        <f t="shared" si="95"/>
        <v>82340000</v>
      </c>
      <c r="AN371" s="20"/>
    </row>
    <row r="372" spans="16:45">
      <c r="Q372" s="97" t="s">
        <v>4258</v>
      </c>
      <c r="R372" s="93">
        <v>34550</v>
      </c>
      <c r="T372" s="19" t="s">
        <v>5690</v>
      </c>
      <c r="U372" s="19">
        <v>7622</v>
      </c>
      <c r="V372" s="115">
        <v>2414.6810999999998</v>
      </c>
      <c r="W372" s="115">
        <f t="shared" si="93"/>
        <v>18404699.3442</v>
      </c>
      <c r="X372" s="276" t="s">
        <v>5143</v>
      </c>
      <c r="AH372" s="147">
        <v>106</v>
      </c>
      <c r="AI372" s="147" t="s">
        <v>5157</v>
      </c>
      <c r="AJ372" s="186">
        <v>230000</v>
      </c>
      <c r="AK372" s="147">
        <v>1</v>
      </c>
      <c r="AL372" s="147">
        <f t="shared" si="94"/>
        <v>358</v>
      </c>
      <c r="AM372" s="147">
        <f t="shared" si="95"/>
        <v>82340000</v>
      </c>
      <c r="AN372" s="147"/>
      <c r="AR372" t="s">
        <v>25</v>
      </c>
    </row>
    <row r="373" spans="16:45">
      <c r="Q373" s="97" t="s">
        <v>5156</v>
      </c>
      <c r="R373" s="93">
        <v>-2134406</v>
      </c>
      <c r="T373" s="19" t="s">
        <v>5690</v>
      </c>
      <c r="U373" s="19">
        <v>-282</v>
      </c>
      <c r="V373" s="115">
        <v>2414.6810999999998</v>
      </c>
      <c r="W373" s="115">
        <f t="shared" si="93"/>
        <v>-680940.07019999996</v>
      </c>
      <c r="X373" s="276" t="s">
        <v>5691</v>
      </c>
      <c r="AH373" s="147">
        <v>107</v>
      </c>
      <c r="AI373" s="147" t="s">
        <v>5158</v>
      </c>
      <c r="AJ373" s="186">
        <v>500000</v>
      </c>
      <c r="AK373" s="147">
        <v>1</v>
      </c>
      <c r="AL373" s="147">
        <f t="shared" si="94"/>
        <v>357</v>
      </c>
      <c r="AM373" s="147">
        <f t="shared" si="95"/>
        <v>178500000</v>
      </c>
      <c r="AN373" s="147"/>
    </row>
    <row r="374" spans="16:45">
      <c r="Q374" s="97" t="s">
        <v>5194</v>
      </c>
      <c r="R374" s="93">
        <v>-618906</v>
      </c>
      <c r="T374" s="19" t="s">
        <v>5690</v>
      </c>
      <c r="U374" s="19">
        <v>20162</v>
      </c>
      <c r="V374" s="115">
        <v>2414.6810999999998</v>
      </c>
      <c r="W374" s="115">
        <f t="shared" si="93"/>
        <v>48684800.338199995</v>
      </c>
      <c r="X374" s="276" t="s">
        <v>5692</v>
      </c>
      <c r="AH374" s="20">
        <v>108</v>
      </c>
      <c r="AI374" s="20" t="s">
        <v>5161</v>
      </c>
      <c r="AJ374" s="115">
        <v>-880000</v>
      </c>
      <c r="AK374" s="20">
        <v>4</v>
      </c>
      <c r="AL374" s="20">
        <f t="shared" si="94"/>
        <v>356</v>
      </c>
      <c r="AM374" s="20">
        <f t="shared" si="95"/>
        <v>-313280000</v>
      </c>
      <c r="AN374" s="20"/>
      <c r="AS374" t="s">
        <v>25</v>
      </c>
    </row>
    <row r="375" spans="16:45">
      <c r="Q375" s="97" t="s">
        <v>5197</v>
      </c>
      <c r="R375" s="93">
        <v>-54615</v>
      </c>
      <c r="T375" s="19" t="s">
        <v>5690</v>
      </c>
      <c r="U375" s="19">
        <v>-20162</v>
      </c>
      <c r="V375" s="115">
        <v>2414.6810999999998</v>
      </c>
      <c r="W375" s="115">
        <f t="shared" si="93"/>
        <v>-48684800.338199995</v>
      </c>
      <c r="X375" s="276" t="s">
        <v>744</v>
      </c>
      <c r="Y375" t="s">
        <v>25</v>
      </c>
      <c r="AA375" t="s">
        <v>25</v>
      </c>
      <c r="AH375" s="193">
        <v>109</v>
      </c>
      <c r="AI375" s="193" t="s">
        <v>5165</v>
      </c>
      <c r="AJ375" s="194">
        <v>873000</v>
      </c>
      <c r="AK375" s="193">
        <v>0</v>
      </c>
      <c r="AL375" s="193">
        <f t="shared" si="94"/>
        <v>352</v>
      </c>
      <c r="AM375" s="193">
        <f t="shared" si="95"/>
        <v>307296000</v>
      </c>
      <c r="AN375" s="193" t="s">
        <v>5107</v>
      </c>
    </row>
    <row r="376" spans="16:45">
      <c r="Q376" s="97" t="s">
        <v>5240</v>
      </c>
      <c r="R376" s="93">
        <v>18000000</v>
      </c>
      <c r="T376" s="19" t="s">
        <v>5693</v>
      </c>
      <c r="U376" s="19">
        <v>977</v>
      </c>
      <c r="V376" s="115">
        <v>2317.971947</v>
      </c>
      <c r="W376" s="115">
        <f t="shared" si="93"/>
        <v>2264658.5922190002</v>
      </c>
      <c r="X376" s="276" t="s">
        <v>5143</v>
      </c>
      <c r="AH376" s="20">
        <v>110</v>
      </c>
      <c r="AI376" s="20" t="s">
        <v>5165</v>
      </c>
      <c r="AJ376" s="115">
        <v>127000</v>
      </c>
      <c r="AK376" s="20">
        <v>0</v>
      </c>
      <c r="AL376" s="20">
        <f t="shared" si="94"/>
        <v>352</v>
      </c>
      <c r="AM376" s="20">
        <f t="shared" si="95"/>
        <v>44704000</v>
      </c>
      <c r="AN376" s="20" t="s">
        <v>5107</v>
      </c>
    </row>
    <row r="377" spans="16:45">
      <c r="Q377" s="97" t="s">
        <v>5290</v>
      </c>
      <c r="R377" s="93">
        <v>20000000</v>
      </c>
      <c r="T377" s="19" t="s">
        <v>5695</v>
      </c>
      <c r="U377" s="19">
        <v>10280</v>
      </c>
      <c r="V377" s="115">
        <v>2225.429357</v>
      </c>
      <c r="W377" s="115">
        <f t="shared" si="93"/>
        <v>22877413.789960001</v>
      </c>
      <c r="X377" s="276" t="s">
        <v>5143</v>
      </c>
      <c r="AH377" s="20">
        <v>111</v>
      </c>
      <c r="AI377" s="20" t="s">
        <v>5165</v>
      </c>
      <c r="AJ377" s="115">
        <v>73000</v>
      </c>
      <c r="AK377" s="20">
        <v>1</v>
      </c>
      <c r="AL377" s="20">
        <f t="shared" si="94"/>
        <v>352</v>
      </c>
      <c r="AM377" s="20">
        <f t="shared" si="95"/>
        <v>25696000</v>
      </c>
      <c r="AN377" s="20"/>
      <c r="AR377" t="s">
        <v>25</v>
      </c>
    </row>
    <row r="378" spans="16:45">
      <c r="Q378" s="97" t="s">
        <v>5300</v>
      </c>
      <c r="R378" s="93">
        <v>27694196</v>
      </c>
      <c r="T378" s="19" t="s">
        <v>5698</v>
      </c>
      <c r="U378" s="19">
        <v>1022</v>
      </c>
      <c r="V378" s="115">
        <v>2311.6824240000001</v>
      </c>
      <c r="W378" s="115">
        <f t="shared" si="93"/>
        <v>2362539.4373280001</v>
      </c>
      <c r="X378" s="276" t="s">
        <v>5143</v>
      </c>
      <c r="AH378" s="20">
        <v>112</v>
      </c>
      <c r="AI378" s="20" t="s">
        <v>977</v>
      </c>
      <c r="AJ378" s="115">
        <v>4300000</v>
      </c>
      <c r="AK378" s="20">
        <v>1</v>
      </c>
      <c r="AL378" s="20">
        <f t="shared" si="94"/>
        <v>351</v>
      </c>
      <c r="AM378" s="20">
        <f t="shared" si="95"/>
        <v>1509300000</v>
      </c>
      <c r="AN378" s="20"/>
    </row>
    <row r="379" spans="16:45">
      <c r="Q379" s="97" t="s">
        <v>5379</v>
      </c>
      <c r="R379" s="93">
        <v>7211722</v>
      </c>
      <c r="T379" s="19" t="s">
        <v>5699</v>
      </c>
      <c r="U379" s="19">
        <v>6818</v>
      </c>
      <c r="V379" s="115">
        <v>2352.988656</v>
      </c>
      <c r="W379" s="115">
        <f t="shared" si="93"/>
        <v>16042676.656608</v>
      </c>
      <c r="X379" s="276" t="s">
        <v>5143</v>
      </c>
      <c r="Y379" t="s">
        <v>25</v>
      </c>
      <c r="AH379" s="20">
        <v>113</v>
      </c>
      <c r="AI379" s="20" t="s">
        <v>5033</v>
      </c>
      <c r="AJ379" s="115">
        <v>1600000</v>
      </c>
      <c r="AK379" s="20">
        <v>0</v>
      </c>
      <c r="AL379" s="20">
        <f t="shared" si="94"/>
        <v>350</v>
      </c>
      <c r="AM379" s="20">
        <f t="shared" si="95"/>
        <v>560000000</v>
      </c>
      <c r="AN379" s="20"/>
    </row>
    <row r="380" spans="16:45">
      <c r="Q380" s="97" t="s">
        <v>5380</v>
      </c>
      <c r="R380" s="93">
        <v>8481864</v>
      </c>
      <c r="T380" s="19" t="s">
        <v>5700</v>
      </c>
      <c r="U380" s="19">
        <v>8023</v>
      </c>
      <c r="V380" s="115">
        <v>2293.8167079999998</v>
      </c>
      <c r="W380" s="115">
        <f t="shared" si="93"/>
        <v>18403291.448284</v>
      </c>
      <c r="X380" s="276" t="s">
        <v>5143</v>
      </c>
      <c r="AH380" s="20">
        <v>114</v>
      </c>
      <c r="AI380" s="20" t="s">
        <v>4258</v>
      </c>
      <c r="AJ380" s="115">
        <v>-10000000</v>
      </c>
      <c r="AK380" s="20">
        <v>1</v>
      </c>
      <c r="AL380" s="20">
        <f t="shared" si="94"/>
        <v>350</v>
      </c>
      <c r="AM380" s="20">
        <f t="shared" si="95"/>
        <v>-3500000000</v>
      </c>
      <c r="AN380" s="20" t="s">
        <v>5172</v>
      </c>
    </row>
    <row r="381" spans="16:45">
      <c r="Q381" s="97" t="s">
        <v>5388</v>
      </c>
      <c r="R381" s="93">
        <v>1558697</v>
      </c>
      <c r="T381" s="19" t="s">
        <v>5703</v>
      </c>
      <c r="U381" s="19">
        <v>4666</v>
      </c>
      <c r="V381" s="115">
        <v>2263.4906230000001</v>
      </c>
      <c r="W381" s="115">
        <f t="shared" si="93"/>
        <v>10561447.246918</v>
      </c>
      <c r="X381" s="276" t="s">
        <v>5143</v>
      </c>
      <c r="Y381" t="s">
        <v>25</v>
      </c>
      <c r="AH381" s="20">
        <v>115</v>
      </c>
      <c r="AI381" s="20" t="s">
        <v>5171</v>
      </c>
      <c r="AJ381" s="115">
        <v>571000</v>
      </c>
      <c r="AK381" s="20">
        <v>4</v>
      </c>
      <c r="AL381" s="20">
        <f t="shared" si="94"/>
        <v>349</v>
      </c>
      <c r="AM381" s="20">
        <f t="shared" si="95"/>
        <v>199279000</v>
      </c>
      <c r="AN381" s="20"/>
      <c r="AP381" t="s">
        <v>25</v>
      </c>
    </row>
    <row r="382" spans="16:45">
      <c r="Q382" s="97" t="s">
        <v>5393</v>
      </c>
      <c r="R382" s="93">
        <v>9042009</v>
      </c>
      <c r="T382" s="19" t="s">
        <v>5704</v>
      </c>
      <c r="U382" s="19">
        <v>542</v>
      </c>
      <c r="V382" s="115">
        <v>2263.4906230000001</v>
      </c>
      <c r="W382" s="115">
        <f t="shared" si="93"/>
        <v>1226811.9176660001</v>
      </c>
      <c r="X382" s="276" t="s">
        <v>5143</v>
      </c>
      <c r="AH382" s="20">
        <v>116</v>
      </c>
      <c r="AI382" s="20" t="s">
        <v>5173</v>
      </c>
      <c r="AJ382" s="115">
        <v>200000</v>
      </c>
      <c r="AK382" s="20">
        <v>3</v>
      </c>
      <c r="AL382" s="20">
        <f t="shared" ref="AL382:AL393" si="96">AK382+AL383</f>
        <v>345</v>
      </c>
      <c r="AM382" s="20">
        <f t="shared" ref="AM382:AM393" si="97">AJ382*AL382</f>
        <v>69000000</v>
      </c>
      <c r="AN382" s="20"/>
    </row>
    <row r="383" spans="16:45">
      <c r="Q383" s="97" t="s">
        <v>5394</v>
      </c>
      <c r="R383" s="93">
        <v>94969</v>
      </c>
      <c r="T383" s="19" t="s">
        <v>5705</v>
      </c>
      <c r="U383" s="19">
        <v>16629</v>
      </c>
      <c r="V383" s="115">
        <v>2367.7887540000002</v>
      </c>
      <c r="W383" s="115">
        <f t="shared" si="93"/>
        <v>39373959.190266006</v>
      </c>
      <c r="X383" s="276" t="s">
        <v>5143</v>
      </c>
      <c r="AH383" s="147">
        <v>117</v>
      </c>
      <c r="AI383" s="147" t="s">
        <v>5179</v>
      </c>
      <c r="AJ383" s="186">
        <v>50000</v>
      </c>
      <c r="AK383" s="147">
        <v>7</v>
      </c>
      <c r="AL383" s="147">
        <f t="shared" si="96"/>
        <v>342</v>
      </c>
      <c r="AM383" s="147">
        <f t="shared" si="97"/>
        <v>17100000</v>
      </c>
      <c r="AN383" s="147"/>
    </row>
    <row r="384" spans="16:45">
      <c r="P384" t="s">
        <v>25</v>
      </c>
      <c r="Q384" s="97" t="s">
        <v>5399</v>
      </c>
      <c r="R384" s="93">
        <v>40000000</v>
      </c>
      <c r="T384" s="19" t="s">
        <v>5710</v>
      </c>
      <c r="U384" s="19">
        <v>11765</v>
      </c>
      <c r="V384" s="115">
        <v>2354.7375320000001</v>
      </c>
      <c r="W384" s="115">
        <f t="shared" si="93"/>
        <v>27703487.063980002</v>
      </c>
      <c r="X384" s="276" t="s">
        <v>5143</v>
      </c>
      <c r="AH384" s="20">
        <v>118</v>
      </c>
      <c r="AI384" s="20" t="s">
        <v>5187</v>
      </c>
      <c r="AJ384" s="115">
        <v>-500000</v>
      </c>
      <c r="AK384" s="20">
        <v>12</v>
      </c>
      <c r="AL384" s="20">
        <f t="shared" si="96"/>
        <v>335</v>
      </c>
      <c r="AM384" s="20">
        <f t="shared" si="97"/>
        <v>-167500000</v>
      </c>
      <c r="AN384" s="20"/>
    </row>
    <row r="385" spans="17:45">
      <c r="Q385" s="97" t="s">
        <v>5399</v>
      </c>
      <c r="R385" s="93">
        <v>2806274</v>
      </c>
      <c r="T385" s="19" t="s">
        <v>5711</v>
      </c>
      <c r="U385" s="19">
        <v>3672</v>
      </c>
      <c r="V385" s="115">
        <v>2379.873826</v>
      </c>
      <c r="W385" s="115">
        <f t="shared" si="93"/>
        <v>8738896.6890719999</v>
      </c>
      <c r="X385" s="276" t="s">
        <v>5143</v>
      </c>
      <c r="AH385" s="147">
        <v>119</v>
      </c>
      <c r="AI385" s="147" t="s">
        <v>976</v>
      </c>
      <c r="AJ385" s="186">
        <v>-50000</v>
      </c>
      <c r="AK385" s="147">
        <v>0</v>
      </c>
      <c r="AL385" s="147">
        <f t="shared" si="96"/>
        <v>323</v>
      </c>
      <c r="AM385" s="147">
        <f t="shared" si="97"/>
        <v>-16150000</v>
      </c>
      <c r="AN385" s="147"/>
    </row>
    <row r="386" spans="17:45">
      <c r="Q386" s="97" t="s">
        <v>5400</v>
      </c>
      <c r="R386" s="93">
        <v>1331702</v>
      </c>
      <c r="T386" s="19" t="s">
        <v>4187</v>
      </c>
      <c r="U386" s="19">
        <v>140</v>
      </c>
      <c r="V386" s="115">
        <v>2487.154767</v>
      </c>
      <c r="W386" s="115">
        <f t="shared" si="93"/>
        <v>348201.66738</v>
      </c>
      <c r="X386" s="276" t="s">
        <v>5143</v>
      </c>
      <c r="AH386" s="20">
        <v>120</v>
      </c>
      <c r="AI386" s="20" t="s">
        <v>976</v>
      </c>
      <c r="AJ386" s="115">
        <v>-50000</v>
      </c>
      <c r="AK386" s="20">
        <v>28</v>
      </c>
      <c r="AL386" s="20">
        <f t="shared" si="96"/>
        <v>323</v>
      </c>
      <c r="AM386" s="20">
        <f t="shared" si="97"/>
        <v>-16150000</v>
      </c>
      <c r="AN386" s="20"/>
      <c r="AQ386" t="s">
        <v>25</v>
      </c>
    </row>
    <row r="387" spans="17:45">
      <c r="Q387" s="97" t="s">
        <v>5409</v>
      </c>
      <c r="R387" s="93">
        <v>851238</v>
      </c>
      <c r="T387" s="19" t="s">
        <v>5713</v>
      </c>
      <c r="U387" s="19">
        <v>1616</v>
      </c>
      <c r="V387" s="115">
        <v>2573.0760479999999</v>
      </c>
      <c r="W387" s="115">
        <f t="shared" si="93"/>
        <v>4158090.8935679998</v>
      </c>
      <c r="X387" s="276" t="s">
        <v>5143</v>
      </c>
      <c r="AF387" s="94" t="s">
        <v>25</v>
      </c>
      <c r="AH387" s="20">
        <v>121</v>
      </c>
      <c r="AI387" s="20" t="s">
        <v>5229</v>
      </c>
      <c r="AJ387" s="115">
        <v>-3020625</v>
      </c>
      <c r="AK387" s="20">
        <v>18</v>
      </c>
      <c r="AL387" s="20">
        <f t="shared" si="96"/>
        <v>295</v>
      </c>
      <c r="AM387" s="20">
        <f t="shared" si="97"/>
        <v>-891084375</v>
      </c>
      <c r="AN387" s="20"/>
    </row>
    <row r="388" spans="17:45">
      <c r="Q388" s="97" t="s">
        <v>5446</v>
      </c>
      <c r="R388" s="93">
        <v>652592</v>
      </c>
      <c r="T388" s="187" t="s">
        <v>5714</v>
      </c>
      <c r="U388" s="187">
        <v>-2272</v>
      </c>
      <c r="V388" s="186">
        <v>2639.970566</v>
      </c>
      <c r="W388" s="186">
        <f t="shared" si="93"/>
        <v>-5998013.1259519998</v>
      </c>
      <c r="X388" s="275" t="s">
        <v>5725</v>
      </c>
      <c r="AH388" s="20">
        <v>122</v>
      </c>
      <c r="AI388" s="20" t="s">
        <v>5240</v>
      </c>
      <c r="AJ388" s="115">
        <v>18000000</v>
      </c>
      <c r="AK388" s="20">
        <v>19</v>
      </c>
      <c r="AL388" s="20">
        <f t="shared" si="96"/>
        <v>277</v>
      </c>
      <c r="AM388" s="20">
        <f t="shared" si="97"/>
        <v>4986000000</v>
      </c>
      <c r="AN388" s="20"/>
      <c r="AS388" t="s">
        <v>25</v>
      </c>
    </row>
    <row r="389" spans="17:45">
      <c r="Q389" s="97" t="s">
        <v>5504</v>
      </c>
      <c r="R389" s="93">
        <v>554139</v>
      </c>
      <c r="T389" s="19" t="s">
        <v>5714</v>
      </c>
      <c r="U389" s="19">
        <v>2272</v>
      </c>
      <c r="V389" s="115">
        <v>2639.970566</v>
      </c>
      <c r="W389" s="115">
        <f t="shared" si="93"/>
        <v>5998013.1259519998</v>
      </c>
      <c r="X389" s="276" t="s">
        <v>5724</v>
      </c>
      <c r="Z389" t="s">
        <v>25</v>
      </c>
      <c r="AH389" s="20">
        <v>123</v>
      </c>
      <c r="AI389" s="20" t="s">
        <v>5268</v>
      </c>
      <c r="AJ389" s="115">
        <v>2000000</v>
      </c>
      <c r="AK389" s="20">
        <v>6</v>
      </c>
      <c r="AL389" s="20">
        <f t="shared" si="96"/>
        <v>258</v>
      </c>
      <c r="AM389" s="20">
        <f t="shared" si="97"/>
        <v>516000000</v>
      </c>
      <c r="AN389" s="20"/>
    </row>
    <row r="390" spans="17:45" ht="30">
      <c r="Q390" s="97" t="s">
        <v>5505</v>
      </c>
      <c r="R390" s="93">
        <v>70373089</v>
      </c>
      <c r="T390" s="19" t="s">
        <v>5714</v>
      </c>
      <c r="U390" s="19">
        <v>4434</v>
      </c>
      <c r="V390" s="115">
        <v>2639.970566</v>
      </c>
      <c r="W390" s="115">
        <f t="shared" si="93"/>
        <v>11705629.489644</v>
      </c>
      <c r="X390" s="276" t="s">
        <v>5726</v>
      </c>
      <c r="AA390" t="s">
        <v>25</v>
      </c>
      <c r="AH390" s="147">
        <v>124</v>
      </c>
      <c r="AI390" s="147" t="s">
        <v>5279</v>
      </c>
      <c r="AJ390" s="186">
        <v>40000000</v>
      </c>
      <c r="AK390" s="147">
        <v>6</v>
      </c>
      <c r="AL390" s="147">
        <f t="shared" si="96"/>
        <v>252</v>
      </c>
      <c r="AM390" s="147">
        <f t="shared" si="97"/>
        <v>10080000000</v>
      </c>
      <c r="AN390" s="147"/>
    </row>
    <row r="391" spans="17:45" ht="30">
      <c r="Q391" s="97" t="s">
        <v>5506</v>
      </c>
      <c r="R391" s="93">
        <v>1219655</v>
      </c>
      <c r="S391" t="s">
        <v>25</v>
      </c>
      <c r="T391" s="187" t="s">
        <v>5714</v>
      </c>
      <c r="U391" s="187">
        <v>-2349</v>
      </c>
      <c r="V391" s="186">
        <v>2639.970566</v>
      </c>
      <c r="W391" s="186">
        <f t="shared" si="93"/>
        <v>-6201290.859534</v>
      </c>
      <c r="X391" s="275" t="s">
        <v>5727</v>
      </c>
      <c r="AH391" s="20">
        <v>125</v>
      </c>
      <c r="AI391" s="20" t="s">
        <v>5290</v>
      </c>
      <c r="AJ391" s="115">
        <v>200000</v>
      </c>
      <c r="AK391" s="20">
        <v>0</v>
      </c>
      <c r="AL391" s="20">
        <f t="shared" si="96"/>
        <v>246</v>
      </c>
      <c r="AM391" s="20">
        <f t="shared" si="97"/>
        <v>49200000</v>
      </c>
      <c r="AN391" s="20"/>
    </row>
    <row r="392" spans="17:45">
      <c r="Q392" s="97" t="s">
        <v>5507</v>
      </c>
      <c r="R392" s="93">
        <v>15350146</v>
      </c>
      <c r="T392" s="19" t="s">
        <v>5714</v>
      </c>
      <c r="U392" s="19">
        <v>2349</v>
      </c>
      <c r="V392" s="115">
        <v>2639.970566</v>
      </c>
      <c r="W392" s="115">
        <f t="shared" si="93"/>
        <v>6201290.859534</v>
      </c>
      <c r="X392" s="276" t="s">
        <v>5728</v>
      </c>
      <c r="AA392" t="s">
        <v>25</v>
      </c>
      <c r="AH392" s="147">
        <v>126</v>
      </c>
      <c r="AI392" s="147" t="s">
        <v>5290</v>
      </c>
      <c r="AJ392" s="186">
        <v>200000</v>
      </c>
      <c r="AK392" s="147">
        <v>1</v>
      </c>
      <c r="AL392" s="147">
        <f t="shared" si="96"/>
        <v>246</v>
      </c>
      <c r="AM392" s="147">
        <f t="shared" si="97"/>
        <v>49200000</v>
      </c>
      <c r="AN392" s="147"/>
    </row>
    <row r="393" spans="17:45" ht="30">
      <c r="Q393" s="97" t="s">
        <v>5508</v>
      </c>
      <c r="R393" s="93">
        <v>121018</v>
      </c>
      <c r="T393" s="19" t="s">
        <v>5714</v>
      </c>
      <c r="U393" s="19">
        <v>-568</v>
      </c>
      <c r="V393" s="115">
        <v>2639.970566</v>
      </c>
      <c r="W393" s="115">
        <f t="shared" si="93"/>
        <v>-1499503.2814879999</v>
      </c>
      <c r="X393" s="276" t="s">
        <v>5729</v>
      </c>
      <c r="AA393" t="s">
        <v>25</v>
      </c>
      <c r="AH393" s="20">
        <v>127</v>
      </c>
      <c r="AI393" s="20" t="s">
        <v>5294</v>
      </c>
      <c r="AJ393" s="115">
        <v>50000</v>
      </c>
      <c r="AK393" s="20">
        <v>4</v>
      </c>
      <c r="AL393" s="20">
        <f t="shared" si="96"/>
        <v>245</v>
      </c>
      <c r="AM393" s="20">
        <f t="shared" si="97"/>
        <v>12250000</v>
      </c>
      <c r="AN393" s="20"/>
      <c r="AR393" t="s">
        <v>25</v>
      </c>
    </row>
    <row r="394" spans="17:45" ht="30">
      <c r="Q394" s="97" t="s">
        <v>5512</v>
      </c>
      <c r="R394" s="93">
        <v>1024993</v>
      </c>
      <c r="T394" s="19" t="s">
        <v>5714</v>
      </c>
      <c r="U394" s="19">
        <v>568</v>
      </c>
      <c r="V394" s="115">
        <v>2639.970566</v>
      </c>
      <c r="W394" s="115">
        <f t="shared" si="93"/>
        <v>1499503.2814879999</v>
      </c>
      <c r="X394" s="276" t="s">
        <v>5729</v>
      </c>
      <c r="Z394" t="s">
        <v>25</v>
      </c>
      <c r="AH394" s="20">
        <v>128</v>
      </c>
      <c r="AI394" s="20" t="s">
        <v>5297</v>
      </c>
      <c r="AJ394" s="115">
        <v>100000</v>
      </c>
      <c r="AK394" s="20">
        <v>9</v>
      </c>
      <c r="AL394" s="20">
        <f t="shared" ref="AL394:AL404" si="98">AK394+AL395</f>
        <v>241</v>
      </c>
      <c r="AM394" s="20">
        <f t="shared" ref="AM394:AM404" si="99">AJ394*AL394</f>
        <v>24100000</v>
      </c>
      <c r="AN394" s="20"/>
    </row>
    <row r="395" spans="17:45">
      <c r="Q395" s="97" t="s">
        <v>5528</v>
      </c>
      <c r="R395" s="93">
        <v>1948077</v>
      </c>
      <c r="T395" s="19" t="s">
        <v>5718</v>
      </c>
      <c r="U395" s="19">
        <v>4589</v>
      </c>
      <c r="V395" s="115">
        <v>2639.970566</v>
      </c>
      <c r="W395" s="115">
        <f t="shared" si="93"/>
        <v>12114824.927374</v>
      </c>
      <c r="X395" s="276" t="s">
        <v>5732</v>
      </c>
      <c r="AH395" s="20">
        <v>129</v>
      </c>
      <c r="AI395" s="20" t="s">
        <v>5315</v>
      </c>
      <c r="AJ395" s="115">
        <v>-550000</v>
      </c>
      <c r="AK395" s="20">
        <v>5</v>
      </c>
      <c r="AL395" s="20">
        <f t="shared" si="98"/>
        <v>232</v>
      </c>
      <c r="AM395" s="20">
        <f t="shared" si="99"/>
        <v>-127600000</v>
      </c>
      <c r="AN395" s="20"/>
    </row>
    <row r="396" spans="17:45">
      <c r="Q396" s="97" t="s">
        <v>5529</v>
      </c>
      <c r="R396" s="93">
        <v>50000120</v>
      </c>
      <c r="T396" s="19" t="s">
        <v>5718</v>
      </c>
      <c r="U396" s="19">
        <v>41959</v>
      </c>
      <c r="V396" s="115">
        <v>2639.970566</v>
      </c>
      <c r="W396" s="115">
        <f t="shared" ref="W396:W416" si="100">U396*V396</f>
        <v>110770524.97879399</v>
      </c>
      <c r="X396" s="276" t="s">
        <v>5143</v>
      </c>
      <c r="AH396" s="20">
        <v>130</v>
      </c>
      <c r="AI396" s="20" t="s">
        <v>5320</v>
      </c>
      <c r="AJ396" s="115">
        <v>-29686490</v>
      </c>
      <c r="AK396" s="20">
        <v>1</v>
      </c>
      <c r="AL396" s="20">
        <f t="shared" si="98"/>
        <v>227</v>
      </c>
      <c r="AM396" s="20">
        <f t="shared" si="99"/>
        <v>-6738833230</v>
      </c>
      <c r="AN396" s="20"/>
    </row>
    <row r="397" spans="17:45">
      <c r="Q397" s="97" t="s">
        <v>5530</v>
      </c>
      <c r="R397" s="93">
        <v>20000055</v>
      </c>
      <c r="T397" s="19" t="s">
        <v>5735</v>
      </c>
      <c r="U397" s="19">
        <v>2486</v>
      </c>
      <c r="V397" s="115">
        <v>2688.7156100000002</v>
      </c>
      <c r="W397" s="115">
        <f t="shared" si="100"/>
        <v>6684147.0064600008</v>
      </c>
      <c r="X397" s="276" t="s">
        <v>5143</v>
      </c>
      <c r="AH397" s="20">
        <v>131</v>
      </c>
      <c r="AI397" s="20" t="s">
        <v>5330</v>
      </c>
      <c r="AJ397" s="115">
        <v>-9000000</v>
      </c>
      <c r="AK397" s="20">
        <v>8</v>
      </c>
      <c r="AL397" s="20">
        <f t="shared" si="98"/>
        <v>226</v>
      </c>
      <c r="AM397" s="20">
        <f t="shared" si="99"/>
        <v>-2034000000</v>
      </c>
      <c r="AN397" s="20"/>
    </row>
    <row r="398" spans="17:45" ht="21" customHeight="1">
      <c r="Q398" s="97" t="s">
        <v>5561</v>
      </c>
      <c r="R398" s="93">
        <v>5745697</v>
      </c>
      <c r="T398" s="19" t="s">
        <v>5740</v>
      </c>
      <c r="U398" s="19">
        <v>652</v>
      </c>
      <c r="V398" s="115">
        <v>2801.4344030000002</v>
      </c>
      <c r="W398" s="115">
        <f t="shared" si="100"/>
        <v>1826535.2307560001</v>
      </c>
      <c r="X398" s="276" t="s">
        <v>5143</v>
      </c>
      <c r="Y398" t="s">
        <v>25</v>
      </c>
      <c r="AH398" s="20">
        <v>132</v>
      </c>
      <c r="AI398" s="20" t="s">
        <v>5375</v>
      </c>
      <c r="AJ398" s="115">
        <v>810000</v>
      </c>
      <c r="AK398" s="20">
        <v>2</v>
      </c>
      <c r="AL398" s="20">
        <f t="shared" si="98"/>
        <v>218</v>
      </c>
      <c r="AM398" s="20">
        <f t="shared" si="99"/>
        <v>176580000</v>
      </c>
      <c r="AN398" s="20"/>
    </row>
    <row r="399" spans="17:45">
      <c r="Q399" s="97" t="s">
        <v>5562</v>
      </c>
      <c r="R399" s="93">
        <v>908158</v>
      </c>
      <c r="T399" s="187" t="s">
        <v>5740</v>
      </c>
      <c r="U399" s="187">
        <v>-536</v>
      </c>
      <c r="V399" s="186">
        <v>2801.4344030000002</v>
      </c>
      <c r="W399" s="186">
        <f t="shared" si="100"/>
        <v>-1501568.8400080001</v>
      </c>
      <c r="X399" s="275" t="s">
        <v>5754</v>
      </c>
      <c r="AH399" s="20">
        <v>133</v>
      </c>
      <c r="AI399" s="20" t="s">
        <v>5380</v>
      </c>
      <c r="AJ399" s="115">
        <v>-5000000</v>
      </c>
      <c r="AK399" s="20">
        <v>3</v>
      </c>
      <c r="AL399" s="20">
        <f t="shared" si="98"/>
        <v>216</v>
      </c>
      <c r="AM399" s="20">
        <f t="shared" si="99"/>
        <v>-1080000000</v>
      </c>
      <c r="AN399" s="20"/>
    </row>
    <row r="400" spans="17:45" ht="18" customHeight="1">
      <c r="Q400" s="97" t="s">
        <v>5563</v>
      </c>
      <c r="R400" s="93">
        <v>12642697</v>
      </c>
      <c r="T400" s="19" t="s">
        <v>5744</v>
      </c>
      <c r="U400" s="19">
        <v>1351</v>
      </c>
      <c r="V400" s="115">
        <v>2647.94</v>
      </c>
      <c r="W400" s="115">
        <f t="shared" si="100"/>
        <v>3577366.94</v>
      </c>
      <c r="X400" s="276" t="s">
        <v>5143</v>
      </c>
      <c r="AH400" s="20">
        <v>134</v>
      </c>
      <c r="AI400" s="20" t="s">
        <v>5388</v>
      </c>
      <c r="AJ400" s="115">
        <v>-26000000</v>
      </c>
      <c r="AK400" s="20">
        <v>0</v>
      </c>
      <c r="AL400" s="20">
        <f t="shared" si="98"/>
        <v>213</v>
      </c>
      <c r="AM400" s="20">
        <f t="shared" si="99"/>
        <v>-5538000000</v>
      </c>
      <c r="AN400" s="20"/>
    </row>
    <row r="401" spans="17:45" ht="21" customHeight="1">
      <c r="Q401" s="97" t="s">
        <v>5564</v>
      </c>
      <c r="R401" s="93">
        <v>12297317.81435</v>
      </c>
      <c r="T401" s="19" t="s">
        <v>5746</v>
      </c>
      <c r="U401" s="19">
        <v>8402</v>
      </c>
      <c r="V401" s="115">
        <v>2527.8539839999999</v>
      </c>
      <c r="W401" s="115">
        <f t="shared" si="100"/>
        <v>21239029.173567999</v>
      </c>
      <c r="X401" s="276" t="s">
        <v>5143</v>
      </c>
      <c r="AD401" t="s">
        <v>25</v>
      </c>
      <c r="AH401" s="252">
        <v>135</v>
      </c>
      <c r="AI401" s="252" t="s">
        <v>5388</v>
      </c>
      <c r="AJ401" s="243">
        <v>-26000000</v>
      </c>
      <c r="AK401" s="252">
        <v>1</v>
      </c>
      <c r="AL401" s="252">
        <f t="shared" si="98"/>
        <v>213</v>
      </c>
      <c r="AM401" s="252">
        <f t="shared" si="99"/>
        <v>-5538000000</v>
      </c>
      <c r="AN401" s="252"/>
    </row>
    <row r="402" spans="17:45">
      <c r="Q402" s="97" t="s">
        <v>5565</v>
      </c>
      <c r="R402" s="93">
        <v>8959643.8508579992</v>
      </c>
      <c r="T402" s="19" t="s">
        <v>5751</v>
      </c>
      <c r="U402" s="19">
        <v>98141</v>
      </c>
      <c r="V402" s="115">
        <v>2475.593813</v>
      </c>
      <c r="W402" s="115">
        <f t="shared" si="100"/>
        <v>242957252.40163299</v>
      </c>
      <c r="X402" s="276" t="s">
        <v>5143</v>
      </c>
      <c r="Y402" t="s">
        <v>25</v>
      </c>
      <c r="AH402" s="20">
        <v>136</v>
      </c>
      <c r="AI402" s="20" t="s">
        <v>5393</v>
      </c>
      <c r="AJ402" s="115">
        <v>-81800000</v>
      </c>
      <c r="AK402" s="20">
        <v>0</v>
      </c>
      <c r="AL402" s="20">
        <f t="shared" si="98"/>
        <v>212</v>
      </c>
      <c r="AM402" s="20">
        <f t="shared" si="99"/>
        <v>-17341600000</v>
      </c>
      <c r="AN402" s="20"/>
      <c r="AS402" t="s">
        <v>25</v>
      </c>
    </row>
    <row r="403" spans="17:45">
      <c r="Q403" s="97" t="s">
        <v>5566</v>
      </c>
      <c r="R403" s="93">
        <v>15154095.839328</v>
      </c>
      <c r="T403" s="19" t="s">
        <v>5756</v>
      </c>
      <c r="U403" s="19">
        <v>2910</v>
      </c>
      <c r="V403" s="115">
        <v>2528.240988</v>
      </c>
      <c r="W403" s="115">
        <f t="shared" si="100"/>
        <v>7357181.2750800001</v>
      </c>
      <c r="X403" s="276" t="s">
        <v>5143</v>
      </c>
      <c r="Z403" t="s">
        <v>25</v>
      </c>
      <c r="AH403" s="252">
        <v>137</v>
      </c>
      <c r="AI403" s="252" t="s">
        <v>5393</v>
      </c>
      <c r="AJ403" s="243">
        <v>-110000000</v>
      </c>
      <c r="AK403" s="252">
        <v>1</v>
      </c>
      <c r="AL403" s="252">
        <f t="shared" si="98"/>
        <v>212</v>
      </c>
      <c r="AM403" s="252">
        <f t="shared" si="99"/>
        <v>-23320000000</v>
      </c>
      <c r="AN403" s="252"/>
    </row>
    <row r="404" spans="17:45">
      <c r="Q404" s="97" t="s">
        <v>5587</v>
      </c>
      <c r="R404" s="93">
        <v>50725508.571864001</v>
      </c>
      <c r="T404" s="19" t="s">
        <v>5760</v>
      </c>
      <c r="U404" s="19">
        <v>5652</v>
      </c>
      <c r="V404" s="115">
        <v>2645.3312000000001</v>
      </c>
      <c r="W404" s="115">
        <f t="shared" si="100"/>
        <v>14951411.942400001</v>
      </c>
      <c r="X404" s="276" t="s">
        <v>5143</v>
      </c>
      <c r="Z404" t="s">
        <v>25</v>
      </c>
      <c r="AH404" s="20">
        <v>138</v>
      </c>
      <c r="AI404" s="20" t="s">
        <v>5394</v>
      </c>
      <c r="AJ404" s="115">
        <v>-34000000</v>
      </c>
      <c r="AK404" s="20">
        <v>0</v>
      </c>
      <c r="AL404" s="20">
        <f t="shared" si="98"/>
        <v>211</v>
      </c>
      <c r="AM404" s="20">
        <f t="shared" si="99"/>
        <v>-7174000000</v>
      </c>
      <c r="AN404" s="20"/>
    </row>
    <row r="405" spans="17:45">
      <c r="Q405" s="97" t="s">
        <v>5589</v>
      </c>
      <c r="R405" s="93">
        <v>2281961.458596</v>
      </c>
      <c r="T405" s="19" t="s">
        <v>5764</v>
      </c>
      <c r="U405" s="19">
        <v>18764</v>
      </c>
      <c r="V405" s="115">
        <v>2554.2639829999998</v>
      </c>
      <c r="W405" s="115">
        <f t="shared" si="100"/>
        <v>47928209.377011999</v>
      </c>
      <c r="X405" s="276" t="s">
        <v>5143</v>
      </c>
      <c r="Y405" t="s">
        <v>25</v>
      </c>
      <c r="AH405" s="147">
        <v>139</v>
      </c>
      <c r="AI405" s="147" t="s">
        <v>5394</v>
      </c>
      <c r="AJ405" s="186">
        <v>-23900000</v>
      </c>
      <c r="AK405" s="147">
        <v>5</v>
      </c>
      <c r="AL405" s="147">
        <f t="shared" ref="AL405:AL410" si="101">AK405+AL406</f>
        <v>211</v>
      </c>
      <c r="AM405" s="147">
        <f t="shared" ref="AM405:AM410" si="102">AJ405*AL405</f>
        <v>-5042900000</v>
      </c>
      <c r="AN405" s="147"/>
    </row>
    <row r="406" spans="17:45">
      <c r="Q406" s="97" t="s">
        <v>5596</v>
      </c>
      <c r="R406" s="93">
        <v>10998285</v>
      </c>
      <c r="T406" s="19" t="s">
        <v>5767</v>
      </c>
      <c r="U406" s="19">
        <v>930</v>
      </c>
      <c r="V406" s="115">
        <v>2453.3287089999999</v>
      </c>
      <c r="W406" s="115">
        <f t="shared" si="100"/>
        <v>2281595.69937</v>
      </c>
      <c r="X406" s="276" t="s">
        <v>5143</v>
      </c>
      <c r="AH406" s="20">
        <v>140</v>
      </c>
      <c r="AI406" s="20" t="s">
        <v>5409</v>
      </c>
      <c r="AJ406" s="115">
        <v>1000000</v>
      </c>
      <c r="AK406" s="20">
        <v>0</v>
      </c>
      <c r="AL406" s="20">
        <f t="shared" si="101"/>
        <v>206</v>
      </c>
      <c r="AM406" s="20">
        <f t="shared" si="102"/>
        <v>206000000</v>
      </c>
      <c r="AN406" s="20"/>
    </row>
    <row r="407" spans="17:45">
      <c r="Q407" s="97" t="s">
        <v>5597</v>
      </c>
      <c r="R407" s="93">
        <v>983018.96187300002</v>
      </c>
      <c r="T407" s="19" t="s">
        <v>5770</v>
      </c>
      <c r="U407" s="19">
        <v>1167</v>
      </c>
      <c r="V407" s="115">
        <v>2540.6307069999998</v>
      </c>
      <c r="W407" s="115">
        <f t="shared" si="100"/>
        <v>2964916.035069</v>
      </c>
      <c r="X407" s="276" t="s">
        <v>5143</v>
      </c>
      <c r="AH407" s="147">
        <v>141</v>
      </c>
      <c r="AI407" s="147" t="s">
        <v>5409</v>
      </c>
      <c r="AJ407" s="186">
        <v>1000000</v>
      </c>
      <c r="AK407" s="147">
        <v>4</v>
      </c>
      <c r="AL407" s="147">
        <f t="shared" si="101"/>
        <v>206</v>
      </c>
      <c r="AM407" s="147">
        <f t="shared" si="102"/>
        <v>206000000</v>
      </c>
      <c r="AN407" s="147"/>
    </row>
    <row r="408" spans="17:45">
      <c r="Q408" s="97" t="s">
        <v>5599</v>
      </c>
      <c r="R408" s="93">
        <v>17049271.032000002</v>
      </c>
      <c r="T408" s="19" t="s">
        <v>5772</v>
      </c>
      <c r="U408" s="19">
        <v>2538</v>
      </c>
      <c r="V408" s="115">
        <v>2545.5277489999999</v>
      </c>
      <c r="W408" s="115">
        <f t="shared" si="100"/>
        <v>6460549.4269619994</v>
      </c>
      <c r="X408" s="276" t="s">
        <v>5143</v>
      </c>
      <c r="AH408" s="20">
        <v>142</v>
      </c>
      <c r="AI408" s="20" t="s">
        <v>5415</v>
      </c>
      <c r="AJ408" s="115">
        <v>400000</v>
      </c>
      <c r="AK408" s="20">
        <v>0</v>
      </c>
      <c r="AL408" s="20">
        <f t="shared" si="101"/>
        <v>202</v>
      </c>
      <c r="AM408" s="20">
        <f t="shared" si="102"/>
        <v>80800000</v>
      </c>
      <c r="AN408" s="20"/>
    </row>
    <row r="409" spans="17:45">
      <c r="Q409" s="97" t="s">
        <v>5602</v>
      </c>
      <c r="R409" s="93">
        <v>6829998</v>
      </c>
      <c r="T409" s="19" t="s">
        <v>5776</v>
      </c>
      <c r="U409" s="19">
        <v>2106</v>
      </c>
      <c r="V409" s="115">
        <v>2474.9857059999999</v>
      </c>
      <c r="W409" s="115">
        <f t="shared" si="100"/>
        <v>5212319.8968359996</v>
      </c>
      <c r="X409" s="276" t="s">
        <v>5143</v>
      </c>
      <c r="Y409" t="s">
        <v>25</v>
      </c>
      <c r="Z409" t="s">
        <v>25</v>
      </c>
      <c r="AH409" s="147">
        <v>143</v>
      </c>
      <c r="AI409" s="147" t="s">
        <v>5415</v>
      </c>
      <c r="AJ409" s="186">
        <v>400000</v>
      </c>
      <c r="AK409" s="147">
        <v>35</v>
      </c>
      <c r="AL409" s="147">
        <f t="shared" si="101"/>
        <v>202</v>
      </c>
      <c r="AM409" s="147">
        <f t="shared" si="102"/>
        <v>80800000</v>
      </c>
      <c r="AN409" s="147"/>
    </row>
    <row r="410" spans="17:45">
      <c r="Q410" s="97" t="s">
        <v>4214</v>
      </c>
      <c r="R410" s="93">
        <v>6982608.8207999999</v>
      </c>
      <c r="T410" s="19" t="s">
        <v>5782</v>
      </c>
      <c r="U410" s="19">
        <v>1801</v>
      </c>
      <c r="V410" s="115">
        <v>2512.2134809999998</v>
      </c>
      <c r="W410" s="115">
        <f t="shared" si="100"/>
        <v>4524496.4792809999</v>
      </c>
      <c r="X410" s="276" t="s">
        <v>5143</v>
      </c>
      <c r="Y410" t="s">
        <v>25</v>
      </c>
      <c r="AH410" s="20">
        <v>144</v>
      </c>
      <c r="AI410" s="20" t="s">
        <v>5456</v>
      </c>
      <c r="AJ410" s="115">
        <v>3000000</v>
      </c>
      <c r="AK410" s="20">
        <v>0</v>
      </c>
      <c r="AL410" s="20">
        <f t="shared" si="101"/>
        <v>167</v>
      </c>
      <c r="AM410" s="20">
        <f t="shared" si="102"/>
        <v>501000000</v>
      </c>
      <c r="AN410" s="20"/>
    </row>
    <row r="411" spans="17:45">
      <c r="Q411" s="97" t="s">
        <v>5626</v>
      </c>
      <c r="R411" s="93">
        <v>7510131.0216000006</v>
      </c>
      <c r="T411" s="19" t="s">
        <v>5784</v>
      </c>
      <c r="U411" s="19">
        <v>9184</v>
      </c>
      <c r="V411" s="115">
        <v>2489.76919</v>
      </c>
      <c r="W411" s="115">
        <f t="shared" si="100"/>
        <v>22866040.240959998</v>
      </c>
      <c r="X411" s="276" t="s">
        <v>5143</v>
      </c>
      <c r="Z411" t="s">
        <v>25</v>
      </c>
      <c r="AH411" s="147">
        <v>145</v>
      </c>
      <c r="AI411" s="147" t="s">
        <v>5456</v>
      </c>
      <c r="AJ411" s="186">
        <v>2725000</v>
      </c>
      <c r="AK411" s="147">
        <v>19</v>
      </c>
      <c r="AL411" s="147">
        <f t="shared" ref="AL411:AL414" si="103">AK411+AL412</f>
        <v>167</v>
      </c>
      <c r="AM411" s="147">
        <f t="shared" ref="AM411:AM414" si="104">AJ411*AL411</f>
        <v>455075000</v>
      </c>
      <c r="AN411" s="147"/>
    </row>
    <row r="412" spans="17:45">
      <c r="Q412" s="97" t="s">
        <v>5633</v>
      </c>
      <c r="R412" s="93">
        <v>7278025.5327000003</v>
      </c>
      <c r="S412" t="s">
        <v>25</v>
      </c>
      <c r="T412" s="19" t="s">
        <v>5786</v>
      </c>
      <c r="U412" s="19">
        <v>6259</v>
      </c>
      <c r="V412" s="115">
        <v>2453.954988</v>
      </c>
      <c r="W412" s="115">
        <f t="shared" si="100"/>
        <v>15359304.269892</v>
      </c>
      <c r="X412" s="276" t="s">
        <v>5143</v>
      </c>
      <c r="Y412" t="s">
        <v>25</v>
      </c>
      <c r="AH412" s="147">
        <v>146</v>
      </c>
      <c r="AI412" s="147" t="s">
        <v>5341</v>
      </c>
      <c r="AJ412" s="186">
        <v>-8644090</v>
      </c>
      <c r="AK412" s="147">
        <v>0</v>
      </c>
      <c r="AL412" s="147">
        <f t="shared" si="103"/>
        <v>148</v>
      </c>
      <c r="AM412" s="147">
        <f t="shared" si="104"/>
        <v>-1279325320</v>
      </c>
      <c r="AN412" s="147" t="s">
        <v>4752</v>
      </c>
    </row>
    <row r="413" spans="17:45">
      <c r="Q413" s="97" t="s">
        <v>5642</v>
      </c>
      <c r="R413" s="93">
        <v>195059.35799999998</v>
      </c>
      <c r="T413" s="19" t="s">
        <v>5794</v>
      </c>
      <c r="U413" s="19">
        <v>1223</v>
      </c>
      <c r="V413" s="115">
        <v>2345.4686710000001</v>
      </c>
      <c r="W413" s="115">
        <f t="shared" si="100"/>
        <v>2868508.1846330003</v>
      </c>
      <c r="X413" s="276" t="s">
        <v>5143</v>
      </c>
      <c r="Y413" t="s">
        <v>25</v>
      </c>
      <c r="Z413" t="s">
        <v>25</v>
      </c>
      <c r="AH413" s="20">
        <v>147</v>
      </c>
      <c r="AI413" s="20" t="s">
        <v>5341</v>
      </c>
      <c r="AJ413" s="115">
        <v>-65461942</v>
      </c>
      <c r="AK413" s="20">
        <v>1</v>
      </c>
      <c r="AL413" s="20">
        <f t="shared" si="103"/>
        <v>148</v>
      </c>
      <c r="AM413" s="20">
        <f t="shared" si="104"/>
        <v>-9688367416</v>
      </c>
      <c r="AN413" s="20" t="s">
        <v>4752</v>
      </c>
      <c r="AR413" t="s">
        <v>25</v>
      </c>
    </row>
    <row r="414" spans="17:45">
      <c r="Q414" s="97" t="s">
        <v>5647</v>
      </c>
      <c r="R414" s="93">
        <v>862577.83200000005</v>
      </c>
      <c r="T414" s="19" t="s">
        <v>5796</v>
      </c>
      <c r="U414" s="19">
        <v>7804</v>
      </c>
      <c r="V414" s="115">
        <v>2236.0831640000001</v>
      </c>
      <c r="W414" s="115">
        <f t="shared" si="100"/>
        <v>17450393.011856001</v>
      </c>
      <c r="X414" s="276" t="s">
        <v>5143</v>
      </c>
      <c r="Y414" t="s">
        <v>25</v>
      </c>
      <c r="AH414" s="20">
        <v>148</v>
      </c>
      <c r="AI414" s="20" t="s">
        <v>5485</v>
      </c>
      <c r="AJ414" s="115">
        <v>35000000</v>
      </c>
      <c r="AK414" s="20">
        <v>15</v>
      </c>
      <c r="AL414" s="20">
        <f t="shared" si="103"/>
        <v>147</v>
      </c>
      <c r="AM414" s="20">
        <f t="shared" si="104"/>
        <v>5145000000</v>
      </c>
      <c r="AN414" s="20"/>
    </row>
    <row r="415" spans="17:45">
      <c r="Q415" s="97" t="s">
        <v>5649</v>
      </c>
      <c r="R415" s="93">
        <v>920308.446</v>
      </c>
      <c r="T415" s="19" t="s">
        <v>5798</v>
      </c>
      <c r="U415" s="19">
        <v>14589</v>
      </c>
      <c r="V415" s="115">
        <v>2151.5486500000002</v>
      </c>
      <c r="W415" s="115">
        <f t="shared" si="100"/>
        <v>31388943.254850004</v>
      </c>
      <c r="X415" s="276" t="s">
        <v>5143</v>
      </c>
      <c r="Z415" t="s">
        <v>25</v>
      </c>
      <c r="AH415" s="147">
        <v>149</v>
      </c>
      <c r="AI415" s="147" t="s">
        <v>5508</v>
      </c>
      <c r="AJ415" s="186">
        <v>1400000</v>
      </c>
      <c r="AK415" s="147">
        <v>0</v>
      </c>
      <c r="AL415" s="147">
        <f t="shared" ref="AL415:AL417" si="105">AK415+AL416</f>
        <v>132</v>
      </c>
      <c r="AM415" s="147">
        <f t="shared" ref="AM415:AM418" si="106">AJ415*AL415</f>
        <v>184800000</v>
      </c>
      <c r="AN415" s="147"/>
      <c r="AS415" t="s">
        <v>25</v>
      </c>
    </row>
    <row r="416" spans="17:45">
      <c r="Q416" s="97" t="s">
        <v>5650</v>
      </c>
      <c r="R416" s="93">
        <v>4635809.8416840006</v>
      </c>
      <c r="S416" t="s">
        <v>25</v>
      </c>
      <c r="T416" s="19" t="s">
        <v>5801</v>
      </c>
      <c r="U416" s="19">
        <v>14741</v>
      </c>
      <c r="V416" s="115">
        <v>2097.0148140000001</v>
      </c>
      <c r="W416" s="115">
        <f t="shared" si="100"/>
        <v>30912095.373174001</v>
      </c>
      <c r="X416" s="276" t="s">
        <v>5143</v>
      </c>
      <c r="AH416" s="20">
        <v>150</v>
      </c>
      <c r="AI416" s="20" t="s">
        <v>5508</v>
      </c>
      <c r="AJ416" s="115">
        <v>1600000</v>
      </c>
      <c r="AK416" s="20">
        <v>1</v>
      </c>
      <c r="AL416" s="20">
        <f t="shared" si="105"/>
        <v>132</v>
      </c>
      <c r="AM416" s="20">
        <f t="shared" si="106"/>
        <v>211200000</v>
      </c>
      <c r="AN416" s="20"/>
    </row>
    <row r="417" spans="17:45">
      <c r="Q417" s="97" t="s">
        <v>5653</v>
      </c>
      <c r="R417" s="93">
        <v>288892.40000000002</v>
      </c>
      <c r="T417" s="19"/>
      <c r="U417" s="19"/>
      <c r="V417" s="115"/>
      <c r="W417" s="115"/>
      <c r="X417" s="276"/>
      <c r="AH417" s="147">
        <v>151</v>
      </c>
      <c r="AI417" s="147" t="s">
        <v>5511</v>
      </c>
      <c r="AJ417" s="186">
        <v>600000</v>
      </c>
      <c r="AK417" s="147">
        <v>0</v>
      </c>
      <c r="AL417" s="147">
        <f t="shared" si="105"/>
        <v>131</v>
      </c>
      <c r="AM417" s="147">
        <f t="shared" si="106"/>
        <v>78600000</v>
      </c>
      <c r="AN417" s="147" t="s">
        <v>5513</v>
      </c>
      <c r="AR417" t="s">
        <v>25</v>
      </c>
      <c r="AS417" t="s">
        <v>25</v>
      </c>
    </row>
    <row r="418" spans="17:45">
      <c r="Q418" s="97" t="s">
        <v>5687</v>
      </c>
      <c r="R418" s="93">
        <v>58508002.009000003</v>
      </c>
      <c r="T418" s="19"/>
      <c r="U418" s="19"/>
      <c r="V418" s="115"/>
      <c r="W418" s="115"/>
      <c r="X418" s="276" t="s">
        <v>25</v>
      </c>
      <c r="Y418" s="112"/>
      <c r="AH418" s="20">
        <v>152</v>
      </c>
      <c r="AI418" s="20" t="s">
        <v>5511</v>
      </c>
      <c r="AJ418" s="115">
        <v>600000</v>
      </c>
      <c r="AK418" s="20">
        <v>9</v>
      </c>
      <c r="AL418" s="20">
        <f>AK418+AL419</f>
        <v>131</v>
      </c>
      <c r="AM418" s="20">
        <f t="shared" si="106"/>
        <v>78600000</v>
      </c>
      <c r="AN418" s="20" t="s">
        <v>5513</v>
      </c>
    </row>
    <row r="419" spans="17:45">
      <c r="Q419" s="97" t="s">
        <v>5688</v>
      </c>
      <c r="R419" s="93">
        <v>2245515.5410799999</v>
      </c>
      <c r="T419" s="19"/>
      <c r="U419" s="19"/>
      <c r="V419" s="115"/>
      <c r="W419" s="115"/>
      <c r="X419" s="276"/>
      <c r="AH419" s="20">
        <v>153</v>
      </c>
      <c r="AI419" s="20" t="s">
        <v>5530</v>
      </c>
      <c r="AJ419" s="115">
        <v>20000000</v>
      </c>
      <c r="AK419" s="20">
        <v>23</v>
      </c>
      <c r="AL419" s="20">
        <f t="shared" ref="AL419:AL420" si="107">AK419+AL420</f>
        <v>122</v>
      </c>
      <c r="AM419" s="20">
        <f t="shared" ref="AM419:AM421" si="108">AJ419*AL419</f>
        <v>2440000000</v>
      </c>
      <c r="AN419" s="20" t="s">
        <v>5550</v>
      </c>
    </row>
    <row r="420" spans="17:45">
      <c r="Q420" s="97" t="s">
        <v>5690</v>
      </c>
      <c r="R420" s="93">
        <v>18404699.3442</v>
      </c>
      <c r="T420" s="19"/>
      <c r="U420" s="19"/>
      <c r="V420" s="115"/>
      <c r="W420" s="115"/>
      <c r="X420" s="276"/>
      <c r="AH420" s="20">
        <v>154</v>
      </c>
      <c r="AI420" s="20" t="s">
        <v>5577</v>
      </c>
      <c r="AJ420" s="115">
        <v>-46183500</v>
      </c>
      <c r="AK420" s="20">
        <v>0</v>
      </c>
      <c r="AL420" s="20">
        <f t="shared" si="107"/>
        <v>99</v>
      </c>
      <c r="AM420" s="20">
        <f t="shared" si="108"/>
        <v>-4572166500</v>
      </c>
      <c r="AN420" s="20" t="s">
        <v>4881</v>
      </c>
      <c r="AR420" t="s">
        <v>25</v>
      </c>
    </row>
    <row r="421" spans="17:45">
      <c r="Q421" s="97" t="s">
        <v>5690</v>
      </c>
      <c r="R421" s="93">
        <v>48684800</v>
      </c>
      <c r="T421" s="19"/>
      <c r="U421" s="19"/>
      <c r="V421" s="115"/>
      <c r="W421" s="115"/>
      <c r="X421" s="276"/>
      <c r="AH421" s="147">
        <v>155</v>
      </c>
      <c r="AI421" s="147" t="s">
        <v>5577</v>
      </c>
      <c r="AJ421" s="186">
        <v>-1812800</v>
      </c>
      <c r="AK421" s="147">
        <v>2</v>
      </c>
      <c r="AL421" s="147">
        <f>AK421+AL422</f>
        <v>99</v>
      </c>
      <c r="AM421" s="147">
        <f t="shared" si="108"/>
        <v>-179467200</v>
      </c>
      <c r="AN421" s="147" t="s">
        <v>4881</v>
      </c>
    </row>
    <row r="422" spans="17:45">
      <c r="Q422" s="97" t="s">
        <v>5693</v>
      </c>
      <c r="R422" s="93">
        <v>2264658.5922190002</v>
      </c>
      <c r="T422" s="19"/>
      <c r="U422" s="19"/>
      <c r="V422" s="115"/>
      <c r="W422" s="115"/>
      <c r="X422" s="276"/>
      <c r="AH422" s="20">
        <v>156</v>
      </c>
      <c r="AI422" s="20" t="s">
        <v>5581</v>
      </c>
      <c r="AJ422" s="115">
        <v>90000</v>
      </c>
      <c r="AK422" s="20">
        <v>0</v>
      </c>
      <c r="AL422" s="20">
        <f t="shared" ref="AL422:AL441" si="109">AK422+AL423</f>
        <v>97</v>
      </c>
      <c r="AM422" s="20">
        <f t="shared" ref="AM422:AM441" si="110">AJ422*AL422</f>
        <v>8730000</v>
      </c>
      <c r="AN422" s="20"/>
    </row>
    <row r="423" spans="17:45">
      <c r="Q423" s="97" t="s">
        <v>5695</v>
      </c>
      <c r="R423" s="93">
        <v>22877413.789960001</v>
      </c>
      <c r="T423" s="19"/>
      <c r="U423" s="19"/>
      <c r="V423" s="115"/>
      <c r="W423" s="115"/>
      <c r="X423" s="276"/>
      <c r="AH423" s="147">
        <v>157</v>
      </c>
      <c r="AI423" s="147" t="s">
        <v>5581</v>
      </c>
      <c r="AJ423" s="186">
        <v>60000</v>
      </c>
      <c r="AK423" s="147">
        <v>5</v>
      </c>
      <c r="AL423" s="147">
        <f t="shared" si="109"/>
        <v>97</v>
      </c>
      <c r="AM423" s="147">
        <f t="shared" si="110"/>
        <v>5820000</v>
      </c>
      <c r="AN423" s="147"/>
    </row>
    <row r="424" spans="17:45">
      <c r="Q424" s="97" t="s">
        <v>5698</v>
      </c>
      <c r="R424" s="93">
        <v>2362539.4373280001</v>
      </c>
      <c r="T424" s="19"/>
      <c r="U424" s="19"/>
      <c r="V424" s="115"/>
      <c r="W424" s="115"/>
      <c r="X424" s="276" t="s">
        <v>25</v>
      </c>
      <c r="AH424" s="20">
        <v>158</v>
      </c>
      <c r="AI424" s="20" t="s">
        <v>5589</v>
      </c>
      <c r="AJ424" s="115">
        <v>50000000</v>
      </c>
      <c r="AK424" s="20">
        <v>29</v>
      </c>
      <c r="AL424" s="20">
        <f t="shared" si="109"/>
        <v>92</v>
      </c>
      <c r="AM424" s="20">
        <f t="shared" si="110"/>
        <v>4600000000</v>
      </c>
      <c r="AN424" s="20" t="s">
        <v>5591</v>
      </c>
    </row>
    <row r="425" spans="17:45">
      <c r="Q425" s="97" t="s">
        <v>5699</v>
      </c>
      <c r="R425" s="93">
        <v>16042676.656608</v>
      </c>
      <c r="S425" t="s">
        <v>25</v>
      </c>
      <c r="T425" s="19"/>
      <c r="U425" s="19"/>
      <c r="V425" s="115"/>
      <c r="W425" s="115"/>
      <c r="X425" s="276"/>
      <c r="AH425" s="20">
        <v>159</v>
      </c>
      <c r="AI425" s="20" t="s">
        <v>5653</v>
      </c>
      <c r="AJ425" s="115">
        <v>100000</v>
      </c>
      <c r="AK425" s="20">
        <v>1</v>
      </c>
      <c r="AL425" s="20">
        <f t="shared" si="109"/>
        <v>63</v>
      </c>
      <c r="AM425" s="20">
        <f t="shared" si="110"/>
        <v>6300000</v>
      </c>
      <c r="AN425" s="20"/>
    </row>
    <row r="426" spans="17:45">
      <c r="Q426" s="97" t="s">
        <v>5700</v>
      </c>
      <c r="R426" s="93">
        <v>18403291.448284</v>
      </c>
      <c r="T426" s="97"/>
      <c r="U426" s="166"/>
      <c r="V426" s="111"/>
      <c r="W426" s="115">
        <f t="shared" si="93"/>
        <v>0</v>
      </c>
      <c r="X426" s="97"/>
      <c r="AH426" s="147">
        <v>160</v>
      </c>
      <c r="AI426" s="147" t="s">
        <v>5641</v>
      </c>
      <c r="AJ426" s="186">
        <v>150000</v>
      </c>
      <c r="AK426" s="147">
        <v>0</v>
      </c>
      <c r="AL426" s="147">
        <f t="shared" si="109"/>
        <v>62</v>
      </c>
      <c r="AM426" s="147">
        <f t="shared" si="110"/>
        <v>9300000</v>
      </c>
      <c r="AN426" s="147"/>
    </row>
    <row r="427" spans="17:45">
      <c r="Q427" s="97" t="s">
        <v>5703</v>
      </c>
      <c r="R427" s="93">
        <v>10561447.246918</v>
      </c>
      <c r="T427" s="166"/>
      <c r="U427" s="166">
        <f>SUM(U160:U426)</f>
        <v>4056483</v>
      </c>
      <c r="V427" s="97"/>
      <c r="W427" s="97"/>
      <c r="X427" s="97"/>
      <c r="Y427" t="s">
        <v>25</v>
      </c>
      <c r="AH427" s="20">
        <v>161</v>
      </c>
      <c r="AI427" s="20" t="s">
        <v>5641</v>
      </c>
      <c r="AJ427" s="115">
        <v>-683050</v>
      </c>
      <c r="AK427" s="20">
        <v>7</v>
      </c>
      <c r="AL427" s="20">
        <f t="shared" si="109"/>
        <v>62</v>
      </c>
      <c r="AM427" s="20">
        <f t="shared" si="110"/>
        <v>-42349100</v>
      </c>
      <c r="AN427" s="20" t="s">
        <v>5656</v>
      </c>
    </row>
    <row r="428" spans="17:45">
      <c r="Q428" s="97" t="s">
        <v>5704</v>
      </c>
      <c r="R428" s="93">
        <v>1226811.9176660001</v>
      </c>
      <c r="T428" s="97"/>
      <c r="U428" s="97" t="s">
        <v>6</v>
      </c>
      <c r="V428" s="97"/>
      <c r="W428" s="97"/>
      <c r="X428" s="97"/>
      <c r="AH428" s="147">
        <v>162</v>
      </c>
      <c r="AI428" s="147" t="s">
        <v>5668</v>
      </c>
      <c r="AJ428" s="186">
        <v>200000</v>
      </c>
      <c r="AK428" s="147">
        <v>7</v>
      </c>
      <c r="AL428" s="147">
        <f t="shared" si="109"/>
        <v>55</v>
      </c>
      <c r="AM428" s="147">
        <f t="shared" si="110"/>
        <v>11000000</v>
      </c>
      <c r="AN428" s="147"/>
    </row>
    <row r="429" spans="17:45">
      <c r="Q429" s="97" t="s">
        <v>5705</v>
      </c>
      <c r="R429" s="93">
        <v>39373959.190266006</v>
      </c>
      <c r="T429" s="198" t="s">
        <v>4441</v>
      </c>
      <c r="AH429" s="147">
        <v>163</v>
      </c>
      <c r="AI429" s="147" t="s">
        <v>5673</v>
      </c>
      <c r="AJ429" s="186">
        <v>150000</v>
      </c>
      <c r="AK429" s="147">
        <v>5</v>
      </c>
      <c r="AL429" s="147">
        <f t="shared" si="109"/>
        <v>48</v>
      </c>
      <c r="AM429" s="147">
        <f t="shared" si="110"/>
        <v>7200000</v>
      </c>
      <c r="AN429" s="147"/>
    </row>
    <row r="430" spans="17:45">
      <c r="Q430" s="97" t="s">
        <v>5710</v>
      </c>
      <c r="R430" s="93">
        <v>27703487.063980002</v>
      </c>
      <c r="S430" t="s">
        <v>25</v>
      </c>
      <c r="T430" s="197">
        <f>R177/U427</f>
        <v>2097.0148138177824</v>
      </c>
      <c r="X430" t="s">
        <v>25</v>
      </c>
      <c r="AH430" s="20">
        <v>164</v>
      </c>
      <c r="AI430" s="20" t="s">
        <v>5677</v>
      </c>
      <c r="AJ430" s="115">
        <v>320000</v>
      </c>
      <c r="AK430" s="20">
        <v>2</v>
      </c>
      <c r="AL430" s="20">
        <f t="shared" si="109"/>
        <v>43</v>
      </c>
      <c r="AM430" s="20">
        <f t="shared" si="110"/>
        <v>13760000</v>
      </c>
      <c r="AN430" s="20"/>
    </row>
    <row r="431" spans="17:45">
      <c r="Q431" s="97" t="s">
        <v>5711</v>
      </c>
      <c r="R431" s="93">
        <v>8738896.6890719999</v>
      </c>
      <c r="W431" s="112"/>
      <c r="AH431" s="20">
        <v>165</v>
      </c>
      <c r="AI431" s="20" t="s">
        <v>5678</v>
      </c>
      <c r="AJ431" s="115">
        <v>200000</v>
      </c>
      <c r="AK431" s="20">
        <v>29</v>
      </c>
      <c r="AL431" s="20">
        <f t="shared" si="109"/>
        <v>41</v>
      </c>
      <c r="AM431" s="20">
        <f t="shared" si="110"/>
        <v>8200000</v>
      </c>
      <c r="AN431" s="20"/>
    </row>
    <row r="432" spans="17:45">
      <c r="Q432" s="97" t="s">
        <v>4187</v>
      </c>
      <c r="R432" s="93">
        <v>348201.66738</v>
      </c>
      <c r="U432" s="94" t="s">
        <v>267</v>
      </c>
      <c r="V432" t="s">
        <v>4442</v>
      </c>
      <c r="X432" t="s">
        <v>25</v>
      </c>
      <c r="Y432" t="s">
        <v>25</v>
      </c>
      <c r="AH432" s="20">
        <v>166</v>
      </c>
      <c r="AI432" s="20" t="s">
        <v>5714</v>
      </c>
      <c r="AJ432" s="115">
        <v>4200000</v>
      </c>
      <c r="AK432" s="20">
        <v>0</v>
      </c>
      <c r="AL432" s="20">
        <f t="shared" si="109"/>
        <v>12</v>
      </c>
      <c r="AM432" s="20">
        <f t="shared" si="110"/>
        <v>50400000</v>
      </c>
      <c r="AN432" s="20"/>
    </row>
    <row r="433" spans="17:43">
      <c r="Q433" s="97" t="s">
        <v>5713</v>
      </c>
      <c r="R433" s="93">
        <v>4158090.8935679998</v>
      </c>
      <c r="T433" s="112"/>
      <c r="U433" s="93">
        <v>-30912117</v>
      </c>
      <c r="V433">
        <f>U433/T430</f>
        <v>-14741.010314429792</v>
      </c>
      <c r="X433" t="s">
        <v>25</v>
      </c>
      <c r="AH433" s="147">
        <v>167</v>
      </c>
      <c r="AI433" s="147" t="s">
        <v>5714</v>
      </c>
      <c r="AJ433" s="186">
        <v>3300000</v>
      </c>
      <c r="AK433" s="147">
        <v>11</v>
      </c>
      <c r="AL433" s="147">
        <f t="shared" si="109"/>
        <v>12</v>
      </c>
      <c r="AM433" s="147">
        <f t="shared" si="110"/>
        <v>39600000</v>
      </c>
      <c r="AN433" s="147"/>
    </row>
    <row r="434" spans="17:43">
      <c r="Q434" s="97" t="s">
        <v>5718</v>
      </c>
      <c r="R434" s="93">
        <v>110770524.97879399</v>
      </c>
      <c r="T434" t="s">
        <v>25</v>
      </c>
      <c r="X434" t="s">
        <v>25</v>
      </c>
      <c r="AH434" s="147">
        <v>168</v>
      </c>
      <c r="AI434" s="147" t="s">
        <v>5746</v>
      </c>
      <c r="AJ434" s="186">
        <v>-1500000</v>
      </c>
      <c r="AK434" s="147">
        <v>1</v>
      </c>
      <c r="AL434" s="147">
        <f t="shared" si="109"/>
        <v>1</v>
      </c>
      <c r="AM434" s="147">
        <f t="shared" si="110"/>
        <v>-1500000</v>
      </c>
      <c r="AN434" s="147"/>
    </row>
    <row r="435" spans="17:43">
      <c r="Q435" s="97" t="s">
        <v>5714</v>
      </c>
      <c r="R435" s="93">
        <v>17900000</v>
      </c>
      <c r="T435" t="s">
        <v>25</v>
      </c>
      <c r="U435" s="94" t="s">
        <v>25</v>
      </c>
      <c r="V435" s="22"/>
      <c r="W435" s="219"/>
      <c r="X435" s="286"/>
      <c r="AH435" s="20"/>
      <c r="AI435" s="20"/>
      <c r="AJ435" s="115"/>
      <c r="AK435" s="20"/>
      <c r="AL435" s="20">
        <f t="shared" si="109"/>
        <v>0</v>
      </c>
      <c r="AM435" s="20">
        <f t="shared" si="110"/>
        <v>0</v>
      </c>
      <c r="AN435" s="20"/>
      <c r="AQ435" t="s">
        <v>25</v>
      </c>
    </row>
    <row r="436" spans="17:43">
      <c r="Q436" s="97" t="s">
        <v>5718</v>
      </c>
      <c r="R436" s="93">
        <v>12114824.927374</v>
      </c>
      <c r="V436" t="s">
        <v>25</v>
      </c>
      <c r="X436" t="s">
        <v>25</v>
      </c>
      <c r="AH436" s="20"/>
      <c r="AI436" s="20"/>
      <c r="AJ436" s="115"/>
      <c r="AK436" s="20"/>
      <c r="AL436" s="20">
        <f t="shared" si="109"/>
        <v>0</v>
      </c>
      <c r="AM436" s="20">
        <f t="shared" si="110"/>
        <v>0</v>
      </c>
      <c r="AN436" s="20"/>
    </row>
    <row r="437" spans="17:43">
      <c r="Q437" s="97" t="s">
        <v>5735</v>
      </c>
      <c r="R437" s="93">
        <v>6684147.0064600008</v>
      </c>
      <c r="W437" s="112"/>
      <c r="X437" t="s">
        <v>25</v>
      </c>
      <c r="AH437" s="20"/>
      <c r="AI437" s="20"/>
      <c r="AJ437" s="115"/>
      <c r="AK437" s="20"/>
      <c r="AL437" s="20">
        <f t="shared" si="109"/>
        <v>0</v>
      </c>
      <c r="AM437" s="20">
        <f t="shared" si="110"/>
        <v>0</v>
      </c>
      <c r="AN437" s="20"/>
    </row>
    <row r="438" spans="17:43" ht="60">
      <c r="Q438" s="97" t="s">
        <v>5740</v>
      </c>
      <c r="R438" s="93">
        <v>1826535.2307560001</v>
      </c>
      <c r="T438" s="22" t="s">
        <v>4426</v>
      </c>
      <c r="V438" s="219"/>
      <c r="AH438" s="20"/>
      <c r="AI438" s="20"/>
      <c r="AJ438" s="115"/>
      <c r="AK438" s="20"/>
      <c r="AL438" s="20">
        <f t="shared" si="109"/>
        <v>0</v>
      </c>
      <c r="AM438" s="20">
        <f t="shared" si="110"/>
        <v>0</v>
      </c>
      <c r="AN438" s="20"/>
    </row>
    <row r="439" spans="17:43" ht="45">
      <c r="Q439" s="97" t="s">
        <v>5744</v>
      </c>
      <c r="R439" s="93">
        <v>3577366.94</v>
      </c>
      <c r="T439" s="22" t="s">
        <v>4427</v>
      </c>
      <c r="W439" s="286"/>
      <c r="AH439" s="20"/>
      <c r="AI439" s="20"/>
      <c r="AJ439" s="115"/>
      <c r="AK439" s="20"/>
      <c r="AL439" s="20">
        <f t="shared" si="109"/>
        <v>0</v>
      </c>
      <c r="AM439" s="20">
        <f t="shared" si="110"/>
        <v>0</v>
      </c>
      <c r="AN439" s="20"/>
    </row>
    <row r="440" spans="17:43">
      <c r="Q440" s="97" t="s">
        <v>5746</v>
      </c>
      <c r="R440" s="93">
        <v>21239029.173567999</v>
      </c>
      <c r="AH440" s="97"/>
      <c r="AI440" s="97"/>
      <c r="AJ440" s="115"/>
      <c r="AK440" s="97"/>
      <c r="AL440" s="20">
        <f t="shared" si="109"/>
        <v>0</v>
      </c>
      <c r="AM440" s="20">
        <f t="shared" si="110"/>
        <v>0</v>
      </c>
      <c r="AN440" s="20"/>
    </row>
    <row r="441" spans="17:43">
      <c r="Q441" s="97" t="s">
        <v>5751</v>
      </c>
      <c r="R441" s="93">
        <v>242957252.40163299</v>
      </c>
      <c r="AH441" s="97"/>
      <c r="AI441" s="97"/>
      <c r="AJ441" s="115"/>
      <c r="AK441" s="97"/>
      <c r="AL441" s="20">
        <f t="shared" si="109"/>
        <v>0</v>
      </c>
      <c r="AM441" s="20">
        <f t="shared" si="110"/>
        <v>0</v>
      </c>
      <c r="AN441" s="97"/>
    </row>
    <row r="442" spans="17:43">
      <c r="Q442" s="97" t="s">
        <v>5759</v>
      </c>
      <c r="R442" s="93">
        <v>7357181.2750800001</v>
      </c>
      <c r="T442" s="97" t="s">
        <v>4443</v>
      </c>
      <c r="U442" s="97" t="s">
        <v>4421</v>
      </c>
      <c r="V442" s="97" t="s">
        <v>938</v>
      </c>
      <c r="W442" s="72" t="s">
        <v>5635</v>
      </c>
      <c r="AH442" s="97"/>
      <c r="AI442" s="97"/>
      <c r="AJ442" s="93">
        <f>SUM(AJ267:AJ441)</f>
        <v>166700355</v>
      </c>
      <c r="AK442" s="97"/>
      <c r="AL442" s="97"/>
      <c r="AM442" s="97">
        <f>SUM(AM267:AM441)</f>
        <v>187944205934</v>
      </c>
      <c r="AN442" s="93">
        <f>AM442*AN253/31</f>
        <v>101047292.91296704</v>
      </c>
    </row>
    <row r="443" spans="17:43">
      <c r="Q443" s="97" t="s">
        <v>5760</v>
      </c>
      <c r="R443" s="93">
        <v>14951411.942400001</v>
      </c>
      <c r="T443" s="93">
        <f>S235+R294+R462</f>
        <v>1956828664.8465416</v>
      </c>
      <c r="U443" s="93">
        <f>R177</f>
        <v>8506504943</v>
      </c>
      <c r="V443" s="93">
        <f>U443-T443</f>
        <v>6549676278.1534586</v>
      </c>
      <c r="AJ443" t="s">
        <v>4043</v>
      </c>
      <c r="AM443" t="s">
        <v>284</v>
      </c>
      <c r="AN443" t="s">
        <v>928</v>
      </c>
    </row>
    <row r="444" spans="17:43">
      <c r="Q444" s="97" t="s">
        <v>5764</v>
      </c>
      <c r="R444" s="93">
        <v>47928209.377011999</v>
      </c>
      <c r="W444" s="94" t="s">
        <v>25</v>
      </c>
    </row>
    <row r="445" spans="17:43">
      <c r="Q445" s="97" t="s">
        <v>5767</v>
      </c>
      <c r="R445" s="93">
        <v>2281595.69937</v>
      </c>
      <c r="AI445" t="s">
        <v>4045</v>
      </c>
      <c r="AJ445" s="112">
        <f>AJ442+AN442</f>
        <v>267747647.91296703</v>
      </c>
    </row>
    <row r="446" spans="17:43">
      <c r="Q446" s="97" t="s">
        <v>5770</v>
      </c>
      <c r="R446" s="93">
        <v>2964916.035069</v>
      </c>
      <c r="T446" s="115"/>
      <c r="V446" s="112">
        <f>(444000000+2500000)*2/3</f>
        <v>297666666.66666669</v>
      </c>
      <c r="AI446" t="s">
        <v>4048</v>
      </c>
      <c r="AJ446" s="112">
        <f>SUM(N20:N28)</f>
        <v>3279884121</v>
      </c>
    </row>
    <row r="447" spans="17:43">
      <c r="Q447" s="97" t="s">
        <v>5772</v>
      </c>
      <c r="R447" s="93">
        <v>6460549.4269619994</v>
      </c>
      <c r="AI447" t="s">
        <v>4120</v>
      </c>
      <c r="AJ447" s="112">
        <f>AJ446-AJ442</f>
        <v>3113183766</v>
      </c>
    </row>
    <row r="448" spans="17:43">
      <c r="Q448" s="97" t="s">
        <v>5776</v>
      </c>
      <c r="R448" s="93">
        <v>5212319.8968359996</v>
      </c>
      <c r="T448" s="112">
        <f>W312+W313+W315+W316+W318+W319</f>
        <v>-301699041.74755996</v>
      </c>
      <c r="AI448" t="s">
        <v>928</v>
      </c>
      <c r="AJ448" s="112">
        <f>AN442</f>
        <v>101047292.91296704</v>
      </c>
    </row>
    <row r="449" spans="17:40">
      <c r="Q449" s="97" t="s">
        <v>5782</v>
      </c>
      <c r="R449" s="93">
        <v>4524496.4792809999</v>
      </c>
      <c r="T449" t="s">
        <v>25</v>
      </c>
      <c r="AI449" t="s">
        <v>4049</v>
      </c>
      <c r="AJ449" s="112">
        <f>AJ447-AJ448</f>
        <v>3012136473.0870328</v>
      </c>
      <c r="AM449" t="s">
        <v>25</v>
      </c>
      <c r="AN449" t="s">
        <v>25</v>
      </c>
    </row>
    <row r="450" spans="17:40">
      <c r="Q450" s="97" t="s">
        <v>5784</v>
      </c>
      <c r="R450" s="93">
        <v>22866040.240959998</v>
      </c>
      <c r="T450" s="112">
        <f>V446+T448</f>
        <v>-4032375.0808932781</v>
      </c>
      <c r="AL450" t="s">
        <v>25</v>
      </c>
      <c r="AM450" t="s">
        <v>25</v>
      </c>
      <c r="AN450" t="s">
        <v>25</v>
      </c>
    </row>
    <row r="451" spans="17:40">
      <c r="Q451" s="97" t="s">
        <v>5786</v>
      </c>
      <c r="R451" s="93">
        <v>15359304.269892</v>
      </c>
      <c r="T451" t="s">
        <v>25</v>
      </c>
    </row>
    <row r="452" spans="17:40">
      <c r="Q452" s="97" t="s">
        <v>5794</v>
      </c>
      <c r="R452" s="93">
        <v>2868508.1846330003</v>
      </c>
      <c r="T452" t="s">
        <v>25</v>
      </c>
    </row>
    <row r="453" spans="17:40">
      <c r="Q453" s="97" t="s">
        <v>5796</v>
      </c>
      <c r="R453" s="93">
        <v>17450393.011856001</v>
      </c>
      <c r="AN453" t="s">
        <v>25</v>
      </c>
    </row>
    <row r="454" spans="17:40">
      <c r="Q454" s="97" t="s">
        <v>5798</v>
      </c>
      <c r="R454" s="93">
        <v>31388943.254850004</v>
      </c>
      <c r="AN454" t="s">
        <v>25</v>
      </c>
    </row>
    <row r="455" spans="17:40">
      <c r="Q455" s="97"/>
      <c r="R455" s="93">
        <v>30912095.373174001</v>
      </c>
      <c r="T455" t="s">
        <v>25</v>
      </c>
    </row>
    <row r="456" spans="17:40">
      <c r="Q456" s="97"/>
      <c r="R456" s="93"/>
      <c r="T456" t="s">
        <v>25</v>
      </c>
    </row>
    <row r="457" spans="17:40">
      <c r="Q457" s="97"/>
      <c r="R457" s="93"/>
      <c r="U457" s="94" t="s">
        <v>25</v>
      </c>
      <c r="W457" s="94" t="s">
        <v>25</v>
      </c>
    </row>
    <row r="458" spans="17:40">
      <c r="Q458" s="97"/>
      <c r="R458" s="93"/>
      <c r="T458" t="s">
        <v>25</v>
      </c>
      <c r="X458" t="s">
        <v>25</v>
      </c>
    </row>
    <row r="459" spans="17:40">
      <c r="Q459" s="97"/>
      <c r="R459" s="93"/>
      <c r="T459" t="s">
        <v>25</v>
      </c>
      <c r="V459" t="s">
        <v>25</v>
      </c>
    </row>
    <row r="460" spans="17:40">
      <c r="Q460" s="97"/>
      <c r="R460" s="93"/>
      <c r="T460" t="s">
        <v>25</v>
      </c>
      <c r="U460" s="94" t="s">
        <v>25</v>
      </c>
    </row>
    <row r="461" spans="17:40">
      <c r="Q461" s="97" t="s">
        <v>25</v>
      </c>
      <c r="R461" s="97" t="s">
        <v>25</v>
      </c>
      <c r="T461" t="s">
        <v>25</v>
      </c>
      <c r="U461" s="94" t="s">
        <v>25</v>
      </c>
      <c r="V461" t="s">
        <v>25</v>
      </c>
    </row>
    <row r="462" spans="17:40">
      <c r="Q462" s="97" t="s">
        <v>25</v>
      </c>
      <c r="R462" s="93">
        <f>SUM(R299:R461)</f>
        <v>1782292743.3951416</v>
      </c>
      <c r="T462" t="s">
        <v>25</v>
      </c>
      <c r="U462" s="94" t="s">
        <v>25</v>
      </c>
      <c r="V462" t="s">
        <v>25</v>
      </c>
    </row>
    <row r="463" spans="17:40">
      <c r="Q463" s="97"/>
      <c r="R463" s="97" t="s">
        <v>6</v>
      </c>
      <c r="T463" t="s">
        <v>25</v>
      </c>
      <c r="U463" s="94" t="s">
        <v>25</v>
      </c>
    </row>
    <row r="464" spans="17:40">
      <c r="T464" t="s">
        <v>25</v>
      </c>
      <c r="U464" s="94" t="s">
        <v>25</v>
      </c>
      <c r="V464" t="s">
        <v>25</v>
      </c>
    </row>
    <row r="465" spans="17:22">
      <c r="T465" t="s">
        <v>25</v>
      </c>
      <c r="U465" s="94" t="s">
        <v>25</v>
      </c>
    </row>
    <row r="466" spans="17:22">
      <c r="Q466" t="s">
        <v>25</v>
      </c>
      <c r="T466" t="s">
        <v>25</v>
      </c>
      <c r="U466" s="94" t="s">
        <v>25</v>
      </c>
    </row>
    <row r="467" spans="17:22">
      <c r="T467" t="s">
        <v>25</v>
      </c>
      <c r="V467" t="s">
        <v>25</v>
      </c>
    </row>
    <row r="468" spans="17:22">
      <c r="R468" t="s">
        <v>25</v>
      </c>
      <c r="T468" t="s">
        <v>25</v>
      </c>
      <c r="U468" s="94" t="s">
        <v>25</v>
      </c>
    </row>
    <row r="469" spans="17:22">
      <c r="R469" t="s">
        <v>25</v>
      </c>
      <c r="T469" t="s">
        <v>25</v>
      </c>
    </row>
    <row r="470" spans="17:22">
      <c r="Q470" t="s">
        <v>25</v>
      </c>
      <c r="T470" t="s">
        <v>25</v>
      </c>
      <c r="U470" s="94" t="s">
        <v>25</v>
      </c>
    </row>
    <row r="471" spans="17:22">
      <c r="R471" t="s">
        <v>25</v>
      </c>
    </row>
    <row r="473" spans="17:22">
      <c r="T473"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32:G139 G96:G105 G164 G175:G177 G286:G1048576 G192:G213 G275:G281 G130 G145:G147 G151:G157 G122:G127">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G117 S112 P22 S36 S38 S41 P26 S50 S57 S61:S63 S126:S129"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2020-10-22T09:09:47Z</dcterms:modified>
</cp:coreProperties>
</file>