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s>
  <calcPr calcId="145621"/>
</workbook>
</file>

<file path=xl/calcChain.xml><?xml version="1.0" encoding="utf-8"?>
<calcChain xmlns="http://schemas.openxmlformats.org/spreadsheetml/2006/main">
  <c r="M6" i="60" l="1"/>
  <c r="L38" i="18"/>
  <c r="O33" i="18"/>
  <c r="V74" i="18"/>
  <c r="W74" i="18" s="1"/>
  <c r="S74" i="18"/>
  <c r="X74" i="18" l="1"/>
  <c r="I3" i="65"/>
  <c r="I2" i="65"/>
  <c r="V73" i="18" l="1"/>
  <c r="W73" i="18" s="1"/>
  <c r="S73" i="18"/>
  <c r="X73" i="18" l="1"/>
  <c r="N7" i="60"/>
  <c r="N8" i="60"/>
  <c r="N9" i="60"/>
  <c r="N10" i="60"/>
  <c r="N11" i="60"/>
  <c r="N12" i="60"/>
  <c r="N13" i="60"/>
  <c r="N14" i="60"/>
  <c r="N6" i="60"/>
  <c r="B72" i="65" l="1"/>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J142" i="18" l="1"/>
  <c r="S231" i="18"/>
  <c r="P173" i="18" l="1"/>
  <c r="W469" i="18"/>
  <c r="F148" i="63"/>
  <c r="W468" i="18" l="1"/>
  <c r="G138" i="18"/>
  <c r="G124" i="63"/>
  <c r="H124" i="63"/>
  <c r="K124" i="63" s="1"/>
  <c r="I124" i="63"/>
  <c r="G125" i="63"/>
  <c r="H125" i="63"/>
  <c r="I125" i="63"/>
  <c r="G126" i="63"/>
  <c r="H126" i="63"/>
  <c r="K126" i="63" s="1"/>
  <c r="I126" i="63"/>
  <c r="G127" i="63"/>
  <c r="H127" i="63"/>
  <c r="I127" i="63"/>
  <c r="G128" i="63"/>
  <c r="H128" i="63"/>
  <c r="I128" i="63"/>
  <c r="K123" i="63"/>
  <c r="K122" i="63"/>
  <c r="P23" i="18"/>
  <c r="N23" i="18" s="1"/>
  <c r="N49" i="18"/>
  <c r="K125" i="63" l="1"/>
  <c r="K127" i="63"/>
  <c r="F118" i="60"/>
  <c r="F117" i="60"/>
  <c r="D117" i="60"/>
  <c r="D123" i="60" s="1"/>
  <c r="I118" i="60" l="1"/>
  <c r="I119" i="60" s="1"/>
  <c r="F119" i="60" s="1"/>
  <c r="K195" i="63"/>
  <c r="K194" i="63"/>
  <c r="K192" i="63"/>
  <c r="J191" i="63"/>
  <c r="K191" i="63" s="1"/>
  <c r="G191" i="63"/>
  <c r="E191" i="63"/>
  <c r="I191" i="63"/>
  <c r="I120" i="60" l="1"/>
  <c r="W466" i="18"/>
  <c r="J190" i="63"/>
  <c r="J187" i="63"/>
  <c r="J189" i="63"/>
  <c r="J188" i="63"/>
  <c r="J186" i="63"/>
  <c r="J185" i="63"/>
  <c r="J184" i="63"/>
  <c r="F120" i="60" l="1"/>
  <c r="F123" i="60" s="1"/>
  <c r="J37" i="18"/>
  <c r="V157" i="18" l="1"/>
  <c r="AJ264" i="18"/>
  <c r="AJ469" i="18"/>
  <c r="W465" i="18" l="1"/>
  <c r="W464" i="18"/>
  <c r="W463" i="18"/>
  <c r="V508" i="18"/>
  <c r="V509" i="18"/>
  <c r="W467" i="18"/>
  <c r="W475" i="18"/>
  <c r="W476" i="18"/>
  <c r="W477" i="18"/>
  <c r="W462" i="18"/>
  <c r="W461" i="18"/>
  <c r="P25" i="18"/>
  <c r="N25" i="18" s="1"/>
  <c r="N50" i="18"/>
  <c r="W381" i="18"/>
  <c r="G190" i="63"/>
  <c r="E190" i="63"/>
  <c r="I190" i="63"/>
  <c r="K190" i="63" s="1"/>
  <c r="G189" i="63"/>
  <c r="E189" i="63"/>
  <c r="I189" i="63"/>
  <c r="K189" i="63" s="1"/>
  <c r="I187" i="63"/>
  <c r="K187" i="63" s="1"/>
  <c r="E187" i="63" l="1"/>
  <c r="G187" i="63"/>
  <c r="E188" i="63"/>
  <c r="G188" i="63"/>
  <c r="I188" i="63"/>
  <c r="K188" i="63" s="1"/>
  <c r="E193" i="63"/>
  <c r="G193" i="63"/>
  <c r="I193" i="63"/>
  <c r="K193" i="63" s="1"/>
  <c r="G184" i="63" l="1"/>
  <c r="I186" i="63"/>
  <c r="K186" i="63" s="1"/>
  <c r="G186" i="63"/>
  <c r="E186" i="63"/>
  <c r="I185" i="63" l="1"/>
  <c r="K185" i="63" s="1"/>
  <c r="I184" i="63"/>
  <c r="K184" i="63" s="1"/>
  <c r="S109" i="18" l="1"/>
  <c r="N44" i="18"/>
  <c r="F165" i="63"/>
  <c r="C165" i="63"/>
  <c r="I164" i="63"/>
  <c r="H164" i="63"/>
  <c r="K164" i="63" s="1"/>
  <c r="G164" i="63"/>
  <c r="I163" i="63"/>
  <c r="H163" i="63"/>
  <c r="G163" i="63"/>
  <c r="I162" i="63"/>
  <c r="H162" i="63"/>
  <c r="K162" i="63" s="1"/>
  <c r="G162" i="63"/>
  <c r="I161" i="63"/>
  <c r="H161" i="63"/>
  <c r="G161" i="63"/>
  <c r="I160" i="63"/>
  <c r="H160" i="63"/>
  <c r="G160" i="63"/>
  <c r="I159" i="63"/>
  <c r="H159" i="63"/>
  <c r="G159" i="63"/>
  <c r="G185" i="63"/>
  <c r="E185" i="63"/>
  <c r="K163" i="63" l="1"/>
  <c r="G165" i="63"/>
  <c r="H165" i="63"/>
  <c r="K165" i="63" s="1"/>
  <c r="I165" i="63"/>
  <c r="K160" i="63"/>
  <c r="K161" i="63"/>
  <c r="D2" i="60"/>
  <c r="G8" i="60"/>
  <c r="G6" i="60"/>
  <c r="H3" i="60"/>
  <c r="H4" i="60"/>
  <c r="H5" i="60"/>
  <c r="H2" i="60"/>
  <c r="F2" i="60"/>
  <c r="L165" i="63" l="1"/>
  <c r="E184" i="63"/>
  <c r="C195" i="63"/>
  <c r="E195" i="63" s="1"/>
  <c r="F191" i="63" s="1"/>
  <c r="H191" i="63" s="1"/>
  <c r="F190" i="63" l="1"/>
  <c r="H190" i="63" s="1"/>
  <c r="F189" i="63"/>
  <c r="H189" i="63" s="1"/>
  <c r="F187" i="63"/>
  <c r="H187" i="63" s="1"/>
  <c r="F188" i="63"/>
  <c r="H188" i="63" s="1"/>
  <c r="F193" i="63"/>
  <c r="H193" i="63" s="1"/>
  <c r="F186" i="63"/>
  <c r="H186" i="63" s="1"/>
  <c r="F184" i="63"/>
  <c r="H184" i="63" s="1"/>
  <c r="F195" i="63"/>
  <c r="F185" i="63"/>
  <c r="H185" i="63" s="1"/>
  <c r="W460" i="18"/>
  <c r="N51" i="18"/>
  <c r="F180" i="63"/>
  <c r="C180" i="63"/>
  <c r="G175" i="63"/>
  <c r="H175" i="63"/>
  <c r="I175" i="63"/>
  <c r="G176" i="63"/>
  <c r="H176" i="63"/>
  <c r="I176" i="63"/>
  <c r="T3" i="64"/>
  <c r="T4" i="64"/>
  <c r="T5" i="64"/>
  <c r="T6" i="64"/>
  <c r="T7" i="64"/>
  <c r="T2" i="64"/>
  <c r="I180" i="63" l="1"/>
  <c r="F157" i="63"/>
  <c r="C157" i="63"/>
  <c r="G152" i="63"/>
  <c r="G153" i="63"/>
  <c r="G154" i="63"/>
  <c r="G155" i="63"/>
  <c r="G156" i="63"/>
  <c r="G151" i="63"/>
  <c r="I156" i="63"/>
  <c r="H156" i="63"/>
  <c r="I155" i="63"/>
  <c r="H155" i="63"/>
  <c r="I154" i="63"/>
  <c r="H154" i="63"/>
  <c r="K154" i="63" s="1"/>
  <c r="I153" i="63"/>
  <c r="H153" i="63"/>
  <c r="I152" i="63"/>
  <c r="H152" i="63"/>
  <c r="I151" i="63"/>
  <c r="H151" i="63"/>
  <c r="H299" i="18"/>
  <c r="W459" i="18"/>
  <c r="W458" i="18"/>
  <c r="AL263" i="18"/>
  <c r="AL262" i="18" s="1"/>
  <c r="AL261" i="18" s="1"/>
  <c r="AL248" i="18" s="1"/>
  <c r="AL247" i="18" s="1"/>
  <c r="AL246" i="18" s="1"/>
  <c r="AL245" i="18" s="1"/>
  <c r="AL244" i="18" s="1"/>
  <c r="AL243" i="18" s="1"/>
  <c r="AL242" i="18" s="1"/>
  <c r="H123" i="63"/>
  <c r="K155" i="63" l="1"/>
  <c r="K156" i="63"/>
  <c r="K153" i="63"/>
  <c r="K152" i="63"/>
  <c r="W457" i="18"/>
  <c r="W456" i="18" l="1"/>
  <c r="G114" i="63"/>
  <c r="H114" i="63"/>
  <c r="I114" i="63"/>
  <c r="G115" i="63"/>
  <c r="H115" i="63"/>
  <c r="I115" i="63"/>
  <c r="G116" i="63"/>
  <c r="H116" i="63"/>
  <c r="I116" i="63"/>
  <c r="G144" i="63"/>
  <c r="H144" i="63"/>
  <c r="K144" i="63" s="1"/>
  <c r="I144" i="63"/>
  <c r="G145" i="63"/>
  <c r="H145" i="63"/>
  <c r="I145" i="63"/>
  <c r="G146" i="63"/>
  <c r="H146" i="63"/>
  <c r="I146" i="63"/>
  <c r="G147" i="63"/>
  <c r="H147" i="63"/>
  <c r="I147" i="63"/>
  <c r="F134" i="63"/>
  <c r="F172" i="63" l="1"/>
  <c r="C122" i="63"/>
  <c r="K116" i="63"/>
  <c r="K115" i="63"/>
  <c r="K146" i="63"/>
  <c r="K145" i="63"/>
  <c r="F94" i="63"/>
  <c r="K147" i="63"/>
  <c r="D121" i="63"/>
  <c r="F104" i="63"/>
  <c r="F169" i="63"/>
  <c r="F98" i="63"/>
  <c r="F171" i="63"/>
  <c r="F173" i="63"/>
  <c r="F112" i="63"/>
  <c r="F105" i="63"/>
  <c r="F170" i="63"/>
  <c r="C121" i="63"/>
  <c r="F106" i="63"/>
  <c r="F107" i="63"/>
  <c r="F95" i="63"/>
  <c r="F108" i="63"/>
  <c r="F96" i="63"/>
  <c r="F109" i="63"/>
  <c r="F97" i="63"/>
  <c r="F113" i="63"/>
  <c r="F110" i="63"/>
  <c r="F103" i="63"/>
  <c r="F111" i="63"/>
  <c r="V514" i="18"/>
  <c r="V513" i="18"/>
  <c r="V510" i="18"/>
  <c r="V512" i="18"/>
  <c r="V519" i="18"/>
  <c r="V511" i="18"/>
  <c r="X503" i="18" l="1"/>
  <c r="R296" i="18"/>
  <c r="W453" i="18" l="1"/>
  <c r="W454" i="18"/>
  <c r="W455" i="18"/>
  <c r="P28" i="18"/>
  <c r="P22" i="18" l="1"/>
  <c r="W452" i="18" l="1"/>
  <c r="G122" i="63"/>
  <c r="H122" i="63"/>
  <c r="I122" i="63"/>
  <c r="G123" i="63"/>
  <c r="I123" i="63"/>
  <c r="G129" i="63"/>
  <c r="H129" i="63"/>
  <c r="I129" i="63"/>
  <c r="K129" i="63" l="1"/>
  <c r="K128" i="63"/>
  <c r="G113" i="63" l="1"/>
  <c r="H113" i="63"/>
  <c r="K114" i="63" s="1"/>
  <c r="I113" i="63"/>
  <c r="W451" i="18" l="1"/>
  <c r="W450" i="18" l="1"/>
  <c r="G112" i="63"/>
  <c r="H112" i="63"/>
  <c r="I112" i="63"/>
  <c r="G111" i="63"/>
  <c r="H111" i="63"/>
  <c r="I111" i="63"/>
  <c r="K112" i="63" l="1"/>
  <c r="K113" i="63"/>
  <c r="M7" i="60"/>
  <c r="M9" i="60"/>
  <c r="M10" i="60"/>
  <c r="M11" i="60"/>
  <c r="M12" i="60"/>
  <c r="M13" i="60"/>
  <c r="M14" i="60"/>
  <c r="G48" i="10" l="1"/>
  <c r="G110" i="63" l="1"/>
  <c r="H110" i="63"/>
  <c r="I110" i="63"/>
  <c r="K111" i="63" l="1"/>
  <c r="B38" i="60"/>
  <c r="B35" i="60"/>
  <c r="G109" i="63" l="1"/>
  <c r="H109" i="63"/>
  <c r="I109" i="63"/>
  <c r="K110" i="63" l="1"/>
  <c r="C148" i="63"/>
  <c r="I143" i="63"/>
  <c r="H143" i="63"/>
  <c r="G143" i="63"/>
  <c r="I142" i="63"/>
  <c r="H142" i="63"/>
  <c r="G142" i="63"/>
  <c r="I141" i="63"/>
  <c r="H141" i="63"/>
  <c r="G141" i="63"/>
  <c r="W449" i="18"/>
  <c r="G157" i="63" l="1"/>
  <c r="H157" i="63"/>
  <c r="I157" i="63"/>
  <c r="K143" i="63"/>
  <c r="K142" i="63"/>
  <c r="I148" i="63"/>
  <c r="G148" i="63"/>
  <c r="H148" i="63"/>
  <c r="K148" i="63" s="1"/>
  <c r="G107" i="63"/>
  <c r="H107" i="63"/>
  <c r="I107" i="63"/>
  <c r="G108" i="63"/>
  <c r="H108" i="63"/>
  <c r="I108" i="63"/>
  <c r="G117" i="63"/>
  <c r="H117" i="63"/>
  <c r="I117" i="63"/>
  <c r="W448" i="18"/>
  <c r="G105" i="63"/>
  <c r="H105" i="63"/>
  <c r="I105" i="63"/>
  <c r="G106" i="63"/>
  <c r="H106" i="63"/>
  <c r="I106" i="63"/>
  <c r="K157" i="63" l="1"/>
  <c r="L157" i="63" s="1"/>
  <c r="K117" i="63"/>
  <c r="K108" i="63"/>
  <c r="K109" i="63"/>
  <c r="L148" i="63"/>
  <c r="K106" i="63"/>
  <c r="K107" i="63"/>
  <c r="W447" i="18"/>
  <c r="U478" i="18"/>
  <c r="V158" i="18" s="1"/>
  <c r="F130" i="63"/>
  <c r="C130" i="63"/>
  <c r="I121" i="63"/>
  <c r="H121" i="63"/>
  <c r="G121" i="63"/>
  <c r="T152" i="18" l="1"/>
  <c r="T154" i="18"/>
  <c r="H130" i="63"/>
  <c r="K130" i="63" s="1"/>
  <c r="G130" i="63"/>
  <c r="I130" i="63"/>
  <c r="W446" i="18"/>
  <c r="G104" i="63"/>
  <c r="L130" i="63" l="1"/>
  <c r="I174" i="63"/>
  <c r="P30" i="18" l="1"/>
  <c r="W445" i="18"/>
  <c r="G174" i="63" l="1"/>
  <c r="H174" i="63"/>
  <c r="W444" i="18" l="1"/>
  <c r="G98" i="63"/>
  <c r="H98" i="63"/>
  <c r="I98" i="63"/>
  <c r="J136" i="63" l="1"/>
  <c r="H87" i="63" l="1"/>
  <c r="P134" i="60" l="1"/>
  <c r="W441" i="18" l="1"/>
  <c r="W440" i="18" l="1"/>
  <c r="H104" i="63" l="1"/>
  <c r="K105" i="63" s="1"/>
  <c r="I104" i="63"/>
  <c r="F28" i="60" l="1"/>
  <c r="G28" i="60" s="1"/>
  <c r="G171" i="63" l="1"/>
  <c r="H171" i="63"/>
  <c r="I171" i="63"/>
  <c r="G172" i="63"/>
  <c r="H172" i="63"/>
  <c r="I172" i="63"/>
  <c r="G173" i="63"/>
  <c r="H173" i="63"/>
  <c r="I173" i="63"/>
  <c r="G178" i="63"/>
  <c r="H178" i="63"/>
  <c r="I178" i="63"/>
  <c r="G179" i="63"/>
  <c r="H179" i="63"/>
  <c r="I179" i="63"/>
  <c r="G170" i="63"/>
  <c r="H170" i="63"/>
  <c r="I170" i="63"/>
  <c r="G169" i="63"/>
  <c r="I169" i="63"/>
  <c r="H169" i="63"/>
  <c r="W439" i="18"/>
  <c r="K179" i="63" l="1"/>
  <c r="K173" i="63"/>
  <c r="K171" i="63"/>
  <c r="K178" i="63"/>
  <c r="K172" i="63"/>
  <c r="K170" i="63"/>
  <c r="H180" i="63"/>
  <c r="K180" i="63" s="1"/>
  <c r="G180" i="63"/>
  <c r="F118" i="63"/>
  <c r="C118" i="63"/>
  <c r="H118" i="63" l="1"/>
  <c r="K118" i="63" s="1"/>
  <c r="G118" i="63"/>
  <c r="I118" i="63"/>
  <c r="L180" i="63"/>
  <c r="W438" i="18"/>
  <c r="P43" i="18"/>
  <c r="G95" i="63"/>
  <c r="H95" i="63"/>
  <c r="I95" i="63"/>
  <c r="G96" i="63"/>
  <c r="H96" i="63"/>
  <c r="I96" i="63"/>
  <c r="G97" i="63"/>
  <c r="H97" i="63"/>
  <c r="I97" i="63"/>
  <c r="G99" i="63"/>
  <c r="H99" i="63"/>
  <c r="K99" i="63" s="1"/>
  <c r="I99" i="63"/>
  <c r="G100" i="63"/>
  <c r="H100" i="63"/>
  <c r="I100" i="63"/>
  <c r="F101" i="63"/>
  <c r="C101" i="63"/>
  <c r="G88" i="63"/>
  <c r="H88" i="63"/>
  <c r="I88" i="63"/>
  <c r="G89" i="63"/>
  <c r="H89" i="63"/>
  <c r="I89" i="63"/>
  <c r="G90" i="63"/>
  <c r="H90" i="63"/>
  <c r="I90" i="63"/>
  <c r="G91" i="63"/>
  <c r="H91" i="63"/>
  <c r="I91" i="63"/>
  <c r="K96" i="63" l="1"/>
  <c r="K97" i="63"/>
  <c r="K98" i="63"/>
  <c r="K100" i="63"/>
  <c r="K89" i="63"/>
  <c r="K90" i="63"/>
  <c r="W437" i="18"/>
  <c r="W436" i="18" l="1"/>
  <c r="D168" i="58" l="1"/>
  <c r="F92" i="63" l="1"/>
  <c r="C92" i="63"/>
  <c r="H92" i="63" l="1"/>
  <c r="K92" i="63" s="1"/>
  <c r="O473" i="52"/>
  <c r="J473" i="52"/>
  <c r="W431" i="18" l="1"/>
  <c r="W432" i="18"/>
  <c r="W433" i="18"/>
  <c r="W434" i="18"/>
  <c r="W435" i="18"/>
  <c r="W442" i="18"/>
  <c r="W443" i="18"/>
  <c r="AL468" i="18"/>
  <c r="O472" i="52"/>
  <c r="J472" i="52"/>
  <c r="AM468" i="18" l="1"/>
  <c r="AL467" i="18"/>
  <c r="AM467" i="18" l="1"/>
  <c r="AL460" i="18"/>
  <c r="R514" i="18"/>
  <c r="W430" i="18"/>
  <c r="W429" i="18"/>
  <c r="W428" i="18"/>
  <c r="W427" i="18"/>
  <c r="W426" i="18"/>
  <c r="J468" i="52"/>
  <c r="O468" i="52"/>
  <c r="AL459" i="18" l="1"/>
  <c r="AM460" i="18"/>
  <c r="G94" i="63"/>
  <c r="H94" i="63"/>
  <c r="K95" i="63" s="1"/>
  <c r="I94" i="63"/>
  <c r="AM459" i="18" l="1"/>
  <c r="AL458" i="18"/>
  <c r="AL457" i="18" l="1"/>
  <c r="AM458" i="18"/>
  <c r="AM457" i="18" l="1"/>
  <c r="AL456" i="18"/>
  <c r="O465" i="52"/>
  <c r="AL455" i="18" l="1"/>
  <c r="AM456" i="18"/>
  <c r="AM455" i="18" l="1"/>
  <c r="AL454"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47" i="52" l="1"/>
  <c r="P519" i="52"/>
  <c r="P475" i="52"/>
  <c r="P506" i="52"/>
  <c r="AL453" i="18"/>
  <c r="AM454"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53" i="18" l="1"/>
  <c r="AL452" i="18"/>
  <c r="W420" i="18"/>
  <c r="W421" i="18"/>
  <c r="W422" i="18"/>
  <c r="W423" i="18"/>
  <c r="W424" i="18"/>
  <c r="W425" i="18"/>
  <c r="AL451" i="18" l="1"/>
  <c r="AM451" i="18" s="1"/>
  <c r="AM452" i="18"/>
  <c r="O454" i="52"/>
  <c r="J454" i="52"/>
  <c r="W419" i="18" l="1"/>
  <c r="G103" i="63"/>
  <c r="H103" i="63"/>
  <c r="K104" i="63" s="1"/>
  <c r="I103" i="63"/>
  <c r="L118" i="63" l="1"/>
  <c r="G125" i="18" l="1"/>
  <c r="J125" i="18" s="1"/>
  <c r="G124" i="18"/>
  <c r="J124" i="18" s="1"/>
  <c r="I128" i="18" l="1"/>
  <c r="W418" i="18"/>
  <c r="W417" i="18"/>
  <c r="W416" i="18" l="1"/>
  <c r="W415" i="18"/>
  <c r="W414" i="18" l="1"/>
  <c r="H136" i="63"/>
  <c r="W413" i="18" l="1"/>
  <c r="W412" i="18" l="1"/>
  <c r="W411" i="18" l="1"/>
  <c r="W410" i="18" l="1"/>
  <c r="W409"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8" i="18"/>
  <c r="P454" i="52" l="1"/>
  <c r="P456" i="52"/>
  <c r="P460" i="52"/>
  <c r="P453" i="52"/>
  <c r="P449" i="52"/>
  <c r="P445" i="52"/>
  <c r="P461" i="52"/>
  <c r="P452" i="52"/>
  <c r="P448" i="52"/>
  <c r="P459" i="52"/>
  <c r="P450" i="52"/>
  <c r="P446" i="52"/>
  <c r="P442" i="52"/>
  <c r="P457" i="52"/>
  <c r="P455" i="52"/>
  <c r="P451" i="52"/>
  <c r="P447" i="52"/>
  <c r="P462" i="52"/>
  <c r="P458" i="52"/>
  <c r="P444" i="52"/>
  <c r="P443" i="52"/>
  <c r="W407" i="18"/>
  <c r="W406" i="18" l="1"/>
  <c r="W405" i="18" l="1"/>
  <c r="W404" i="18" l="1"/>
  <c r="W403" i="18" l="1"/>
  <c r="G87" i="63" l="1"/>
  <c r="I87" i="63"/>
  <c r="K88" i="63" l="1"/>
  <c r="W402" i="18"/>
  <c r="W401" i="18" l="1"/>
  <c r="W400" i="18" l="1"/>
  <c r="H137" i="63"/>
  <c r="W399" i="18" l="1"/>
  <c r="W398" i="18" l="1"/>
  <c r="W397" i="18" l="1"/>
  <c r="W396" i="18" l="1"/>
  <c r="I145" i="18" l="1"/>
  <c r="G145" i="18"/>
  <c r="W392" i="18"/>
  <c r="W395" i="18"/>
  <c r="W394" i="18" l="1"/>
  <c r="W393" i="18" l="1"/>
  <c r="W391" i="18" l="1"/>
  <c r="W390" i="18" l="1"/>
  <c r="W388" i="18" l="1"/>
  <c r="W387" i="18"/>
  <c r="W386" i="18"/>
  <c r="W383" i="18"/>
  <c r="W384" i="18"/>
  <c r="W385" i="18"/>
  <c r="W382" i="18"/>
  <c r="W389" i="18"/>
  <c r="W380" i="18" l="1"/>
  <c r="W379" i="18" l="1"/>
  <c r="W378" i="18" l="1"/>
  <c r="W377" i="18" l="1"/>
  <c r="W376" i="18" l="1"/>
  <c r="W375" i="18" l="1"/>
  <c r="W374" i="18"/>
  <c r="K137"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3"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2" i="18"/>
  <c r="W371" i="18" l="1"/>
  <c r="W370" i="18" l="1"/>
  <c r="W369" i="18" l="1"/>
  <c r="W368" i="18" l="1"/>
  <c r="W367" i="18"/>
  <c r="W366" i="18"/>
  <c r="W365" i="18"/>
  <c r="W364" i="18" l="1"/>
  <c r="W363" i="18" l="1"/>
  <c r="J137" i="63" l="1"/>
  <c r="V497" i="18" l="1"/>
  <c r="H135" i="63" l="1"/>
  <c r="I92" i="63" l="1"/>
  <c r="AM262" i="18" l="1"/>
  <c r="AM263" i="18"/>
  <c r="P29" i="18"/>
  <c r="N29" i="18" s="1"/>
  <c r="AM247" i="18" l="1"/>
  <c r="AM246" i="18" l="1"/>
  <c r="AM245" i="18" l="1"/>
  <c r="AM244" i="18" l="1"/>
  <c r="G92" i="63"/>
  <c r="Q390" i="52"/>
  <c r="O390" i="52"/>
  <c r="J390" i="52"/>
  <c r="L92" i="63" l="1"/>
  <c r="AM243" i="18"/>
  <c r="W362" i="18"/>
  <c r="AL241" i="18" l="1"/>
  <c r="AM242" i="18"/>
  <c r="AL240" i="18" l="1"/>
  <c r="AM241" i="18"/>
  <c r="W361" i="18"/>
  <c r="AL239" i="18" l="1"/>
  <c r="AM240" i="18"/>
  <c r="W360"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59" i="18"/>
  <c r="W358" i="18"/>
  <c r="W357" i="18"/>
  <c r="W356" i="18"/>
  <c r="W355" i="18"/>
  <c r="AL234" i="18" l="1"/>
  <c r="AM235" i="18"/>
  <c r="E8" i="60"/>
  <c r="M8" i="60" s="1"/>
  <c r="C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0" i="18"/>
  <c r="W351" i="18"/>
  <c r="W352" i="18"/>
  <c r="W353" i="18"/>
  <c r="W354" i="18"/>
  <c r="AL230" i="18" l="1"/>
  <c r="AM231" i="18"/>
  <c r="W349" i="18"/>
  <c r="AL229" i="18" l="1"/>
  <c r="AM230" i="18"/>
  <c r="W348" i="18"/>
  <c r="AL228" i="18" l="1"/>
  <c r="AM229" i="18"/>
  <c r="W347"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6" i="18"/>
  <c r="P374" i="52" l="1"/>
  <c r="AL227" i="18"/>
  <c r="AM228" i="18"/>
  <c r="P375" i="52"/>
  <c r="P376" i="52"/>
  <c r="P368" i="52"/>
  <c r="P373" i="52"/>
  <c r="P372" i="52"/>
  <c r="P371" i="52"/>
  <c r="P370" i="52"/>
  <c r="P369" i="52"/>
  <c r="W345" i="18"/>
  <c r="AL226" i="18" l="1"/>
  <c r="AM227" i="18"/>
  <c r="AL225" i="18" l="1"/>
  <c r="AM226" i="18"/>
  <c r="AL224" i="18" l="1"/>
  <c r="AM225" i="18"/>
  <c r="AL223" i="18" l="1"/>
  <c r="AM224" i="18"/>
  <c r="W344" i="18"/>
  <c r="AL222" i="18" l="1"/>
  <c r="AM223" i="18"/>
  <c r="O362" i="52"/>
  <c r="J362" i="52"/>
  <c r="AL221" i="18" l="1"/>
  <c r="AM222" i="18"/>
  <c r="AL220" i="18" l="1"/>
  <c r="AM221" i="18"/>
  <c r="AL450" i="18"/>
  <c r="AL219" i="18" l="1"/>
  <c r="AM220" i="18"/>
  <c r="AL449" i="18"/>
  <c r="AM450" i="18"/>
  <c r="M164" i="18"/>
  <c r="L164" i="18"/>
  <c r="AL218" i="18" l="1"/>
  <c r="AM219" i="18"/>
  <c r="AM449" i="18"/>
  <c r="AL448" i="18"/>
  <c r="M359" i="52"/>
  <c r="M360" i="52" s="1"/>
  <c r="W343" i="18"/>
  <c r="AL217" i="18" l="1"/>
  <c r="AM218" i="18"/>
  <c r="AL447" i="18"/>
  <c r="AM448" i="18"/>
  <c r="W342" i="18"/>
  <c r="AL216" i="18" l="1"/>
  <c r="AM217" i="18"/>
  <c r="AM447" i="18"/>
  <c r="AL446" i="18"/>
  <c r="W341" i="18"/>
  <c r="AL215" i="18" l="1"/>
  <c r="AM216" i="18"/>
  <c r="AL445" i="18"/>
  <c r="AM446" i="18"/>
  <c r="M163" i="18"/>
  <c r="L163" i="18"/>
  <c r="W340" i="18"/>
  <c r="AL214" i="18" l="1"/>
  <c r="AM214" i="18" s="1"/>
  <c r="AM215" i="18"/>
  <c r="AM445" i="18"/>
  <c r="AL444" i="18"/>
  <c r="W339" i="18"/>
  <c r="AL443" i="18" l="1"/>
  <c r="AM444" i="18"/>
  <c r="W338" i="18"/>
  <c r="AM443" i="18" l="1"/>
  <c r="AL442" i="18"/>
  <c r="AL441" i="18" l="1"/>
  <c r="AM442" i="18"/>
  <c r="M162" i="18"/>
  <c r="L162" i="18"/>
  <c r="AM441" i="18" l="1"/>
  <c r="AL440" i="18"/>
  <c r="M161" i="18"/>
  <c r="L161" i="18"/>
  <c r="AL439" i="18" l="1"/>
  <c r="AM440" i="18"/>
  <c r="L158" i="18"/>
  <c r="M158" i="18"/>
  <c r="L159" i="18"/>
  <c r="M159" i="18"/>
  <c r="L160" i="18"/>
  <c r="M160" i="18"/>
  <c r="L167" i="18"/>
  <c r="M167" i="18"/>
  <c r="AM439" i="18" l="1"/>
  <c r="AL438" i="18"/>
  <c r="O348" i="52"/>
  <c r="W337" i="18"/>
  <c r="AL437" i="18" l="1"/>
  <c r="AM438" i="18"/>
  <c r="G108" i="18"/>
  <c r="G107" i="18"/>
  <c r="W336" i="18"/>
  <c r="J347" i="52"/>
  <c r="AM437" i="18" l="1"/>
  <c r="AL436" i="18"/>
  <c r="L157" i="18"/>
  <c r="M157" i="18"/>
  <c r="M156" i="18"/>
  <c r="L156" i="18"/>
  <c r="W335" i="18"/>
  <c r="AM436" i="18" l="1"/>
  <c r="AL435" i="18"/>
  <c r="W334" i="18"/>
  <c r="I101" i="63" l="1"/>
  <c r="G101" i="63"/>
  <c r="AM435" i="18"/>
  <c r="AL434" i="18"/>
  <c r="H101" i="63"/>
  <c r="K101" i="63" s="1"/>
  <c r="L101" i="63" l="1"/>
  <c r="AL433" i="18"/>
  <c r="AM434" i="18"/>
  <c r="AL432" i="18" l="1"/>
  <c r="AM433" i="18"/>
  <c r="W333" i="18" l="1"/>
  <c r="W332" i="18" l="1"/>
  <c r="W331" i="18" l="1"/>
  <c r="W330" i="18" l="1"/>
  <c r="N348" i="52"/>
  <c r="W329"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4" i="18" l="1"/>
  <c r="N24" i="18" s="1"/>
  <c r="N46" i="18" l="1"/>
  <c r="M108" i="18" s="1"/>
  <c r="D47" i="60" l="1"/>
  <c r="F47" i="60" s="1"/>
  <c r="D46" i="60"/>
  <c r="F46"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310" i="18" l="1"/>
  <c r="W328"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7" i="18"/>
  <c r="D418" i="15" l="1"/>
  <c r="F419" i="15"/>
  <c r="F418" i="15" l="1"/>
  <c r="D417" i="15"/>
  <c r="I77" i="63"/>
  <c r="W326" i="18"/>
  <c r="O305" i="52"/>
  <c r="J305" i="52"/>
  <c r="D416" i="15" l="1"/>
  <c r="F417" i="15"/>
  <c r="D415" i="15" l="1"/>
  <c r="F416" i="15"/>
  <c r="W325" i="18"/>
  <c r="O302" i="52"/>
  <c r="F415" i="15" l="1"/>
  <c r="D414" i="15"/>
  <c r="G137" i="18"/>
  <c r="J138" i="18" s="1"/>
  <c r="D413" i="15" l="1"/>
  <c r="F414" i="15"/>
  <c r="D412" i="15" l="1"/>
  <c r="F413" i="15"/>
  <c r="W324" i="18"/>
  <c r="O301" i="52"/>
  <c r="J137" i="18"/>
  <c r="J140" i="18" l="1"/>
  <c r="L46" i="18" s="1"/>
  <c r="F412" i="15"/>
  <c r="D411" i="15"/>
  <c r="I140" i="18" l="1"/>
  <c r="D410" i="15"/>
  <c r="F411" i="15"/>
  <c r="W323" i="18"/>
  <c r="W322" i="18"/>
  <c r="J300" i="52"/>
  <c r="F410" i="15" l="1"/>
  <c r="D409" i="15"/>
  <c r="W321" i="18"/>
  <c r="O299" i="52"/>
  <c r="W320" i="18"/>
  <c r="W319"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8" i="18"/>
  <c r="W317" i="18"/>
  <c r="W316" i="18"/>
  <c r="N28" i="18"/>
  <c r="O298" i="52"/>
  <c r="D407" i="15" l="1"/>
  <c r="F408" i="15"/>
  <c r="J298" i="52"/>
  <c r="F407" i="15" l="1"/>
  <c r="D406" i="15"/>
  <c r="O297" i="52"/>
  <c r="W315" i="18"/>
  <c r="W314" i="18"/>
  <c r="W313" i="18"/>
  <c r="T499" i="18" l="1"/>
  <c r="T501" i="18" s="1"/>
  <c r="D405" i="15"/>
  <c r="F406" i="15"/>
  <c r="W312" i="18"/>
  <c r="J296" i="52"/>
  <c r="D404" i="15" l="1"/>
  <c r="F405" i="15"/>
  <c r="J295" i="52"/>
  <c r="F404" i="15" l="1"/>
  <c r="D403" i="15"/>
  <c r="W311" i="18"/>
  <c r="D402" i="15" l="1"/>
  <c r="F403" i="15"/>
  <c r="O296" i="52"/>
  <c r="K113" i="18"/>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9" i="18"/>
  <c r="D396" i="15" l="1"/>
  <c r="F397" i="15"/>
  <c r="N43"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8"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7" i="18"/>
  <c r="D388" i="15" l="1"/>
  <c r="F389" i="15"/>
  <c r="J275" i="52"/>
  <c r="F388" i="15" l="1"/>
  <c r="D387" i="15"/>
  <c r="W306" i="18"/>
  <c r="D386" i="15" l="1"/>
  <c r="F387" i="15"/>
  <c r="J274" i="52"/>
  <c r="F386" i="15" l="1"/>
  <c r="D385" i="15"/>
  <c r="W305" i="18"/>
  <c r="D384" i="15" l="1"/>
  <c r="F385" i="15"/>
  <c r="J271" i="52"/>
  <c r="D383" i="15" l="1"/>
  <c r="F384" i="15"/>
  <c r="N45"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4" i="18"/>
  <c r="W30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1" i="18"/>
  <c r="W300" i="18"/>
  <c r="W299" i="18"/>
  <c r="D364" i="15" l="1"/>
  <c r="F365" i="15"/>
  <c r="O223" i="52"/>
  <c r="W298" i="18"/>
  <c r="F364" i="15" l="1"/>
  <c r="D363" i="15"/>
  <c r="J222" i="52"/>
  <c r="W297" i="18"/>
  <c r="D362" i="15" l="1"/>
  <c r="F363" i="15"/>
  <c r="W296" i="18"/>
  <c r="W295" i="18"/>
  <c r="D361" i="15" l="1"/>
  <c r="F362" i="15"/>
  <c r="O220" i="52"/>
  <c r="F361" i="15" l="1"/>
  <c r="D360" i="15"/>
  <c r="W294" i="18"/>
  <c r="W293"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1" i="18"/>
  <c r="F348" i="15" l="1"/>
  <c r="D347" i="15"/>
  <c r="O210" i="52"/>
  <c r="D346" i="15" l="1"/>
  <c r="F347" i="15"/>
  <c r="J210" i="52"/>
  <c r="D345" i="15" l="1"/>
  <c r="F346" i="15"/>
  <c r="J209" i="52"/>
  <c r="O208" i="52"/>
  <c r="J208" i="52"/>
  <c r="D344" i="15" l="1"/>
  <c r="F345" i="15"/>
  <c r="W290" i="18"/>
  <c r="F344" i="15" l="1"/>
  <c r="D343" i="15"/>
  <c r="O207" i="52"/>
  <c r="J207" i="52"/>
  <c r="W289" i="18"/>
  <c r="D342" i="15" l="1"/>
  <c r="F343" i="15"/>
  <c r="W288" i="18"/>
  <c r="D341" i="15" l="1"/>
  <c r="F342" i="15"/>
  <c r="W287" i="18"/>
  <c r="D340" i="15" l="1"/>
  <c r="F341" i="15"/>
  <c r="O204" i="52"/>
  <c r="F340" i="15" l="1"/>
  <c r="D339" i="15"/>
  <c r="J203" i="52"/>
  <c r="W28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85" i="18"/>
  <c r="W284" i="18"/>
  <c r="W283" i="18"/>
  <c r="J202" i="52"/>
  <c r="D336" i="15" l="1"/>
  <c r="F337" i="15"/>
  <c r="W282" i="18"/>
  <c r="J201" i="52"/>
  <c r="W281" i="18"/>
  <c r="F336" i="15" l="1"/>
  <c r="D335" i="15"/>
  <c r="J200" i="52"/>
  <c r="D334" i="15" l="1"/>
  <c r="F335" i="15"/>
  <c r="W280" i="18"/>
  <c r="F334" i="15" l="1"/>
  <c r="D333" i="15"/>
  <c r="D332" i="15" l="1"/>
  <c r="F333" i="15"/>
  <c r="F31" i="60"/>
  <c r="G31" i="60" s="1"/>
  <c r="F32" i="60"/>
  <c r="G32" i="60" s="1"/>
  <c r="F33" i="60"/>
  <c r="G33" i="60" s="1"/>
  <c r="F34" i="60"/>
  <c r="G34" i="60" s="1"/>
  <c r="F29" i="60"/>
  <c r="G29" i="60" s="1"/>
  <c r="F30" i="60"/>
  <c r="G30"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79" i="18"/>
  <c r="F330" i="15" l="1"/>
  <c r="D329" i="15"/>
  <c r="D328" i="15" l="1"/>
  <c r="F329" i="15"/>
  <c r="W278" i="18"/>
  <c r="D327" i="15" l="1"/>
  <c r="F328" i="15"/>
  <c r="AL213" i="18" l="1"/>
  <c r="F327" i="15"/>
  <c r="D326" i="15"/>
  <c r="AL212" i="18" l="1"/>
  <c r="AM213" i="18"/>
  <c r="F326" i="15"/>
  <c r="D325" i="15"/>
  <c r="J195" i="52"/>
  <c r="O195" i="52"/>
  <c r="J194" i="52"/>
  <c r="W277" i="18"/>
  <c r="AL211" i="18" l="1"/>
  <c r="AM212" i="18"/>
  <c r="F325" i="15"/>
  <c r="D324" i="15"/>
  <c r="N194" i="52"/>
  <c r="W276" i="18"/>
  <c r="W275" i="18"/>
  <c r="AL210" i="18" l="1"/>
  <c r="AM211" i="18"/>
  <c r="F324" i="15"/>
  <c r="D323" i="15"/>
  <c r="W274" i="18"/>
  <c r="AM210" i="18" l="1"/>
  <c r="AL209" i="18"/>
  <c r="F323" i="15"/>
  <c r="D322" i="15"/>
  <c r="R149" i="18"/>
  <c r="S149" i="18" s="1"/>
  <c r="AL208" i="18" l="1"/>
  <c r="AM209" i="18"/>
  <c r="F322" i="15"/>
  <c r="D321" i="15"/>
  <c r="W273" i="18"/>
  <c r="AM208" i="18" l="1"/>
  <c r="AL207" i="18"/>
  <c r="F321" i="15"/>
  <c r="D320" i="15"/>
  <c r="W272" i="18"/>
  <c r="O190" i="52"/>
  <c r="J190" i="52"/>
  <c r="AL206" i="18" l="1"/>
  <c r="AM207" i="18"/>
  <c r="F320" i="15"/>
  <c r="D319" i="15"/>
  <c r="W271" i="18"/>
  <c r="AM206" i="18" l="1"/>
  <c r="AL205" i="18"/>
  <c r="F319" i="15"/>
  <c r="D318" i="15"/>
  <c r="N54" i="18"/>
  <c r="N52" i="18"/>
  <c r="AM205" i="18" l="1"/>
  <c r="AL204" i="18"/>
  <c r="F318" i="15"/>
  <c r="D317" i="15"/>
  <c r="O187" i="52"/>
  <c r="W270" i="18"/>
  <c r="AM204" i="18" l="1"/>
  <c r="AL203" i="18"/>
  <c r="F317" i="15"/>
  <c r="D316" i="15"/>
  <c r="J186" i="52"/>
  <c r="W269" i="18"/>
  <c r="W257" i="18"/>
  <c r="W256" i="18"/>
  <c r="AM203" i="18" l="1"/>
  <c r="AL202" i="18"/>
  <c r="F316" i="15"/>
  <c r="D315" i="15"/>
  <c r="J185" i="52"/>
  <c r="W268" i="18"/>
  <c r="AM202" i="18" l="1"/>
  <c r="AL201" i="18"/>
  <c r="F315" i="15"/>
  <c r="D314" i="15"/>
  <c r="AL200" i="18" l="1"/>
  <c r="AM201" i="18"/>
  <c r="F314" i="15"/>
  <c r="D313" i="15"/>
  <c r="AL199" i="18" l="1"/>
  <c r="AM200" i="18"/>
  <c r="F313" i="15"/>
  <c r="D312" i="15"/>
  <c r="N181" i="52"/>
  <c r="AL198" i="18" l="1"/>
  <c r="AM199" i="18"/>
  <c r="F312" i="15"/>
  <c r="D311" i="15"/>
  <c r="W267" i="18"/>
  <c r="B8" i="36"/>
  <c r="AL197" i="18" l="1"/>
  <c r="AM198" i="18"/>
  <c r="F311" i="15"/>
  <c r="D310" i="15"/>
  <c r="O178" i="52"/>
  <c r="J178" i="52"/>
  <c r="AM197" i="18" l="1"/>
  <c r="AL196" i="18"/>
  <c r="F310" i="15"/>
  <c r="D309" i="15"/>
  <c r="N47" i="18"/>
  <c r="G146" i="18" s="1"/>
  <c r="W266" i="18"/>
  <c r="O177" i="52"/>
  <c r="J177" i="52"/>
  <c r="M107" i="18" l="1"/>
  <c r="G147" i="18"/>
  <c r="AM196" i="18"/>
  <c r="AL195" i="18"/>
  <c r="F309" i="15"/>
  <c r="D308" i="15"/>
  <c r="O176" i="52"/>
  <c r="J176" i="52"/>
  <c r="AM195" i="18" l="1"/>
  <c r="AL194" i="18"/>
  <c r="F308" i="15"/>
  <c r="D307" i="15"/>
  <c r="F307" i="15" s="1"/>
  <c r="AM194" i="18" l="1"/>
  <c r="AL193" i="18"/>
  <c r="J174" i="52"/>
  <c r="W265" i="18"/>
  <c r="AM193" i="18" l="1"/>
  <c r="AL192" i="18"/>
  <c r="J168" i="52"/>
  <c r="O168" i="52"/>
  <c r="W264" i="18"/>
  <c r="AM192" i="18" l="1"/>
  <c r="AL191" i="18"/>
  <c r="AM191" i="18" s="1"/>
  <c r="O167" i="52"/>
  <c r="W263" i="18"/>
  <c r="O166" i="52" l="1"/>
  <c r="W262" i="18"/>
  <c r="W261" i="18" l="1"/>
  <c r="O165" i="52"/>
  <c r="J165" i="52"/>
  <c r="C6" i="60" l="1"/>
  <c r="D3" i="60"/>
  <c r="D4" i="60"/>
  <c r="AL431" i="18" l="1"/>
  <c r="AM432" i="18"/>
  <c r="O162" i="52"/>
  <c r="J162" i="52"/>
  <c r="W260" i="18"/>
  <c r="AL430" i="18" l="1"/>
  <c r="AM431"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29" i="18" l="1"/>
  <c r="AM430" i="18"/>
  <c r="P202" i="52"/>
  <c r="P203" i="52"/>
  <c r="P204" i="52"/>
  <c r="P201" i="52"/>
  <c r="P200" i="52"/>
  <c r="P190" i="52"/>
  <c r="P187" i="52"/>
  <c r="P177" i="52"/>
  <c r="P186" i="52"/>
  <c r="P185" i="52"/>
  <c r="P176" i="52"/>
  <c r="P162" i="52"/>
  <c r="P166" i="52"/>
  <c r="P174" i="52"/>
  <c r="P168" i="52"/>
  <c r="P165" i="52"/>
  <c r="P167" i="52"/>
  <c r="O160" i="52"/>
  <c r="J160" i="52"/>
  <c r="N160" i="52"/>
  <c r="AM429" i="18" l="1"/>
  <c r="AL428" i="18"/>
  <c r="W259" i="18"/>
  <c r="AL427" i="18" l="1"/>
  <c r="AM428" i="18"/>
  <c r="W258" i="18"/>
  <c r="AM427" i="18" l="1"/>
  <c r="AL426" i="18"/>
  <c r="AL190" i="18"/>
  <c r="AL425" i="18" l="1"/>
  <c r="AM426" i="18"/>
  <c r="AL189" i="18"/>
  <c r="AM190" i="18"/>
  <c r="N159" i="52"/>
  <c r="P160" i="52" s="1"/>
  <c r="W255" i="18"/>
  <c r="AL424" i="18" l="1"/>
  <c r="AM425"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24" i="18" l="1"/>
  <c r="AL423" i="18"/>
  <c r="AL187" i="18"/>
  <c r="AM188" i="18"/>
  <c r="AM423" i="18" l="1"/>
  <c r="AL422" i="18"/>
  <c r="AM187" i="18"/>
  <c r="AL186" i="18"/>
  <c r="J151" i="52"/>
  <c r="AL421" i="18" l="1"/>
  <c r="AM422" i="18"/>
  <c r="AL185" i="18"/>
  <c r="AM186" i="18"/>
  <c r="W254" i="18"/>
  <c r="W253" i="18"/>
  <c r="O150" i="52"/>
  <c r="AL420" i="18" l="1"/>
  <c r="AM421" i="18"/>
  <c r="AM185" i="18"/>
  <c r="AL184" i="18"/>
  <c r="AL419" i="18" l="1"/>
  <c r="AM420" i="18"/>
  <c r="AL183" i="18"/>
  <c r="AM184" i="18"/>
  <c r="Q146" i="52"/>
  <c r="J146" i="52"/>
  <c r="W25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19" i="18" l="1"/>
  <c r="AL418" i="18"/>
  <c r="AM183" i="18"/>
  <c r="AL182" i="18"/>
  <c r="P151" i="52"/>
  <c r="P150" i="52"/>
  <c r="P157" i="52"/>
  <c r="P148" i="52"/>
  <c r="P158" i="52"/>
  <c r="P156" i="52"/>
  <c r="P155" i="52"/>
  <c r="P154" i="52"/>
  <c r="P153" i="52"/>
  <c r="P152" i="52"/>
  <c r="P149" i="52"/>
  <c r="P147" i="52"/>
  <c r="O145" i="52"/>
  <c r="J145" i="52"/>
  <c r="J144" i="52"/>
  <c r="J143" i="52"/>
  <c r="AM418" i="18" l="1"/>
  <c r="AL417" i="18"/>
  <c r="AL181" i="18"/>
  <c r="AM182" i="18"/>
  <c r="W251" i="18"/>
  <c r="AM417" i="18" l="1"/>
  <c r="AL416" i="18"/>
  <c r="AM181" i="18"/>
  <c r="AL180" i="18"/>
  <c r="W250" i="18"/>
  <c r="AL415" i="18" l="1"/>
  <c r="AM416" i="18"/>
  <c r="AM180" i="18"/>
  <c r="AL179" i="18"/>
  <c r="O142" i="52"/>
  <c r="J142" i="52"/>
  <c r="W249" i="18"/>
  <c r="AL414" i="18" l="1"/>
  <c r="AM415" i="18"/>
  <c r="AM179" i="18"/>
  <c r="AL178" i="18"/>
  <c r="AM178" i="18" s="1"/>
  <c r="O140" i="52"/>
  <c r="J140" i="52"/>
  <c r="W248" i="18"/>
  <c r="AM414" i="18" l="1"/>
  <c r="AL413" i="18"/>
  <c r="W247" i="18"/>
  <c r="W246" i="18"/>
  <c r="O139" i="52"/>
  <c r="J139" i="52"/>
  <c r="AM413" i="18" l="1"/>
  <c r="AL412" i="18"/>
  <c r="W245" i="18"/>
  <c r="AM412" i="18" l="1"/>
  <c r="AL411" i="18"/>
  <c r="AM411" i="18" l="1"/>
  <c r="AL410" i="18"/>
  <c r="M41" i="52"/>
  <c r="AM410" i="18" l="1"/>
  <c r="AL409" i="18"/>
  <c r="O135" i="52"/>
  <c r="J135" i="52"/>
  <c r="AM409" i="18" l="1"/>
  <c r="AL408" i="18"/>
  <c r="AL407" i="18" l="1"/>
  <c r="AM408" i="18"/>
  <c r="W244" i="18"/>
  <c r="AL406" i="18" l="1"/>
  <c r="AM407" i="18"/>
  <c r="O132" i="52"/>
  <c r="W243" i="18"/>
  <c r="AM406" i="18" l="1"/>
  <c r="AL405" i="18"/>
  <c r="O131" i="52"/>
  <c r="L3" i="60"/>
  <c r="L4" i="60"/>
  <c r="L2" i="60"/>
  <c r="K8" i="60"/>
  <c r="K6" i="60"/>
  <c r="AL404" i="18" l="1"/>
  <c r="AM405" i="18"/>
  <c r="O130" i="52"/>
  <c r="O129" i="52"/>
  <c r="W242" i="18"/>
  <c r="W241" i="18"/>
  <c r="AL403" i="18" l="1"/>
  <c r="AM404" i="18"/>
  <c r="N129" i="52"/>
  <c r="AL402" i="18" l="1"/>
  <c r="AM403" i="18"/>
  <c r="O127" i="52"/>
  <c r="AL401" i="18" l="1"/>
  <c r="AM402" i="18"/>
  <c r="J126" i="52"/>
  <c r="O126" i="52"/>
  <c r="W240" i="18"/>
  <c r="AM401" i="18" l="1"/>
  <c r="AL400" i="18"/>
  <c r="O125" i="52"/>
  <c r="J125" i="52"/>
  <c r="AM400" i="18" l="1"/>
  <c r="AL399" i="18"/>
  <c r="W239" i="18"/>
  <c r="AL398" i="18" l="1"/>
  <c r="AM399"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8" i="18"/>
  <c r="AL397" i="18" l="1"/>
  <c r="AM398"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96" i="18" l="1"/>
  <c r="AM397" i="18"/>
  <c r="W237" i="18"/>
  <c r="AM396" i="18" l="1"/>
  <c r="AL395" i="18"/>
  <c r="AM395" i="18" l="1"/>
  <c r="AL394" i="18"/>
  <c r="O121" i="52"/>
  <c r="J121" i="52"/>
  <c r="W236" i="18"/>
  <c r="AL393" i="18" l="1"/>
  <c r="AM394" i="18"/>
  <c r="W235" i="18"/>
  <c r="J120" i="52"/>
  <c r="AM393" i="18" l="1"/>
  <c r="AL392" i="18"/>
  <c r="AL391" i="18" l="1"/>
  <c r="AM392" i="18"/>
  <c r="O117" i="52"/>
  <c r="AM391" i="18" l="1"/>
  <c r="AL390" i="18"/>
  <c r="O116" i="52"/>
  <c r="N116" i="52"/>
  <c r="AM390" i="18" l="1"/>
  <c r="AL389" i="18"/>
  <c r="W234" i="18"/>
  <c r="AL388" i="18" l="1"/>
  <c r="AM389"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88" i="18" l="1"/>
  <c r="AL387" i="18"/>
  <c r="AL386" i="18" l="1"/>
  <c r="AM387" i="18"/>
  <c r="AL385" i="18" l="1"/>
  <c r="AM386" i="18"/>
  <c r="AM385" i="18" l="1"/>
  <c r="AL384" i="18"/>
  <c r="O112" i="52"/>
  <c r="AL383" i="18" l="1"/>
  <c r="AM384"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3" i="18" l="1"/>
  <c r="AL382" i="18"/>
  <c r="P120" i="52"/>
  <c r="P121" i="52"/>
  <c r="D305" i="15"/>
  <c r="F305" i="15" s="1"/>
  <c r="P112" i="52"/>
  <c r="P113" i="52"/>
  <c r="P118" i="52"/>
  <c r="P122" i="52"/>
  <c r="P119" i="52"/>
  <c r="P114" i="52"/>
  <c r="P115" i="52"/>
  <c r="O110" i="52"/>
  <c r="AL381" i="18" l="1"/>
  <c r="AM382" i="18"/>
  <c r="D304" i="15"/>
  <c r="F304" i="15" s="1"/>
  <c r="W233" i="18"/>
  <c r="J108" i="52"/>
  <c r="AM381" i="18" l="1"/>
  <c r="AL380" i="18"/>
  <c r="D303" i="15"/>
  <c r="F303" i="15" s="1"/>
  <c r="W232" i="18"/>
  <c r="W231" i="18"/>
  <c r="AM380" i="18" l="1"/>
  <c r="AL379" i="18"/>
  <c r="D302" i="15"/>
  <c r="F302" i="15" s="1"/>
  <c r="O106" i="52"/>
  <c r="J106" i="52"/>
  <c r="AL378" i="18" l="1"/>
  <c r="AM379" i="18"/>
  <c r="D301" i="15"/>
  <c r="F301" i="15" s="1"/>
  <c r="J104" i="52"/>
  <c r="E276" i="15"/>
  <c r="E277" i="15"/>
  <c r="E278" i="15"/>
  <c r="E279" i="15"/>
  <c r="E280" i="15"/>
  <c r="AL377" i="18" l="1"/>
  <c r="AM378" i="18"/>
  <c r="D300" i="15"/>
  <c r="F300" i="15" s="1"/>
  <c r="W230" i="18"/>
  <c r="AL376" i="18" l="1"/>
  <c r="AM377" i="18"/>
  <c r="D299" i="15"/>
  <c r="F299" i="15" s="1"/>
  <c r="E6" i="60"/>
  <c r="P3" i="60"/>
  <c r="D6" i="60" s="1"/>
  <c r="F3" i="60"/>
  <c r="F4" i="60"/>
  <c r="F5" i="60"/>
  <c r="H8" i="60" l="1"/>
  <c r="H11" i="60"/>
  <c r="H12" i="60"/>
  <c r="H13" i="60"/>
  <c r="H14" i="60"/>
  <c r="F9" i="60"/>
  <c r="H9" i="60"/>
  <c r="H7" i="60"/>
  <c r="H10" i="60"/>
  <c r="H6" i="60"/>
  <c r="D8" i="60"/>
  <c r="L6" i="60"/>
  <c r="AL375" i="18"/>
  <c r="AM376" i="18"/>
  <c r="L13" i="60"/>
  <c r="D12" i="60"/>
  <c r="D10" i="60"/>
  <c r="D14" i="60"/>
  <c r="D9" i="60"/>
  <c r="D13" i="60"/>
  <c r="D7" i="60"/>
  <c r="D11" i="60"/>
  <c r="J7" i="60"/>
  <c r="L9" i="60"/>
  <c r="L14" i="60"/>
  <c r="L7" i="60"/>
  <c r="L11" i="60"/>
  <c r="L12" i="60"/>
  <c r="L10" i="60"/>
  <c r="L8" i="60"/>
  <c r="F7" i="60"/>
  <c r="D298" i="15"/>
  <c r="F298" i="15" s="1"/>
  <c r="F6" i="60"/>
  <c r="J12" i="60"/>
  <c r="F12" i="60"/>
  <c r="J17" i="60"/>
  <c r="J9" i="60"/>
  <c r="F11" i="60"/>
  <c r="J16" i="60"/>
  <c r="J8" i="60"/>
  <c r="F16" i="60"/>
  <c r="F8" i="60"/>
  <c r="J13" i="60"/>
  <c r="F17" i="60"/>
  <c r="F13" i="60"/>
  <c r="J18" i="60"/>
  <c r="J14" i="60"/>
  <c r="J10" i="60"/>
  <c r="F18" i="60"/>
  <c r="F14" i="60"/>
  <c r="F10" i="60"/>
  <c r="J6" i="60"/>
  <c r="J15" i="60"/>
  <c r="J11" i="60"/>
  <c r="W229" i="18"/>
  <c r="L20" i="60" l="1"/>
  <c r="D20" i="60"/>
  <c r="H20" i="60"/>
  <c r="F20" i="60"/>
  <c r="AM375" i="18"/>
  <c r="AL374" i="18"/>
  <c r="D297" i="15"/>
  <c r="F297" i="15" s="1"/>
  <c r="D3" i="59"/>
  <c r="D4" i="59"/>
  <c r="D5" i="59"/>
  <c r="D6" i="59"/>
  <c r="D7" i="59"/>
  <c r="D8" i="59"/>
  <c r="D9" i="59"/>
  <c r="D10" i="59"/>
  <c r="D11" i="59"/>
  <c r="D12" i="59"/>
  <c r="D13" i="59"/>
  <c r="D14" i="59"/>
  <c r="D15" i="59"/>
  <c r="D16" i="59"/>
  <c r="D17" i="59"/>
  <c r="D18" i="59"/>
  <c r="D19" i="59"/>
  <c r="D20" i="59"/>
  <c r="D21" i="59"/>
  <c r="D2" i="59"/>
  <c r="AM374" i="18" l="1"/>
  <c r="AL373" i="18"/>
  <c r="L23" i="60"/>
  <c r="D296" i="15"/>
  <c r="F296" i="15" s="1"/>
  <c r="AL372" i="18" l="1"/>
  <c r="AM373" i="18"/>
  <c r="D295" i="15"/>
  <c r="F295" i="15" s="1"/>
  <c r="AM372" i="18" l="1"/>
  <c r="AL371"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1" i="18" l="1"/>
  <c r="AL370" i="18"/>
  <c r="P108" i="52"/>
  <c r="D293" i="15"/>
  <c r="F293" i="15" s="1"/>
  <c r="P111" i="52"/>
  <c r="P110" i="52"/>
  <c r="P106" i="52"/>
  <c r="P104" i="52"/>
  <c r="P107" i="52"/>
  <c r="P105" i="52"/>
  <c r="P99" i="52"/>
  <c r="P109" i="52"/>
  <c r="P103" i="52"/>
  <c r="P102" i="52"/>
  <c r="P101" i="52"/>
  <c r="P100" i="52"/>
  <c r="AL369" i="18" l="1"/>
  <c r="AM370" i="18"/>
  <c r="D292" i="15"/>
  <c r="F292" i="15" s="1"/>
  <c r="J90" i="52"/>
  <c r="J95" i="52"/>
  <c r="W228" i="18"/>
  <c r="AL368" i="18" l="1"/>
  <c r="AM369" i="18"/>
  <c r="D291" i="15"/>
  <c r="F291" i="15" s="1"/>
  <c r="F51" i="14"/>
  <c r="F52" i="14"/>
  <c r="F53" i="14"/>
  <c r="F54" i="14"/>
  <c r="F55" i="14"/>
  <c r="F56" i="14"/>
  <c r="F57" i="14"/>
  <c r="F58" i="14"/>
  <c r="F59" i="14"/>
  <c r="F60" i="14"/>
  <c r="F61" i="14"/>
  <c r="AL367" i="18" l="1"/>
  <c r="AM368" i="18"/>
  <c r="D290" i="15"/>
  <c r="F290" i="15" s="1"/>
  <c r="N92" i="52"/>
  <c r="O92" i="52"/>
  <c r="N93" i="52"/>
  <c r="O93" i="52"/>
  <c r="N94" i="52"/>
  <c r="O94" i="52"/>
  <c r="N95" i="52"/>
  <c r="O95" i="52"/>
  <c r="N96" i="52"/>
  <c r="O96" i="52"/>
  <c r="N97" i="52"/>
  <c r="O97" i="52"/>
  <c r="J92" i="52"/>
  <c r="J93" i="52"/>
  <c r="J94" i="52"/>
  <c r="J96" i="52"/>
  <c r="AL366" i="18" l="1"/>
  <c r="AM367" i="18"/>
  <c r="D289" i="15"/>
  <c r="F289" i="15" s="1"/>
  <c r="P97" i="52"/>
  <c r="P98" i="52"/>
  <c r="P95" i="52"/>
  <c r="P96" i="52"/>
  <c r="P94" i="52"/>
  <c r="P93" i="52"/>
  <c r="N91" i="52"/>
  <c r="P92" i="52" s="1"/>
  <c r="AL365" i="18" l="1"/>
  <c r="AM366" i="18"/>
  <c r="D288" i="15"/>
  <c r="F288" i="15" s="1"/>
  <c r="T494" i="18"/>
  <c r="W227" i="18"/>
  <c r="W226" i="18"/>
  <c r="W225" i="18"/>
  <c r="M48" i="52"/>
  <c r="M47" i="52"/>
  <c r="N38" i="52"/>
  <c r="N37" i="52"/>
  <c r="M49" i="52"/>
  <c r="N50" i="52" s="1"/>
  <c r="AL364" i="18" l="1"/>
  <c r="AM365" i="18"/>
  <c r="D287" i="15"/>
  <c r="F287" i="15" s="1"/>
  <c r="N49" i="52"/>
  <c r="W224" i="18"/>
  <c r="AM364" i="18" l="1"/>
  <c r="AL363" i="18"/>
  <c r="D286" i="15"/>
  <c r="F286" i="15" s="1"/>
  <c r="AL362" i="18" l="1"/>
  <c r="AM363" i="18"/>
  <c r="D285" i="15"/>
  <c r="F285" i="15" s="1"/>
  <c r="W223" i="18"/>
  <c r="AL361" i="18" l="1"/>
  <c r="AM362" i="18"/>
  <c r="D284" i="15"/>
  <c r="F284" i="15" s="1"/>
  <c r="O90" i="52"/>
  <c r="O91" i="52"/>
  <c r="J91" i="52"/>
  <c r="AM361" i="18" l="1"/>
  <c r="AL360"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2" i="18"/>
  <c r="AM360" i="18" l="1"/>
  <c r="AL359" i="18"/>
  <c r="D282" i="15"/>
  <c r="F282" i="15" s="1"/>
  <c r="G32" i="57"/>
  <c r="H32" i="57"/>
  <c r="D32" i="57"/>
  <c r="I32" i="57" s="1"/>
  <c r="D345" i="20"/>
  <c r="W221" i="18"/>
  <c r="W220" i="18"/>
  <c r="AM359" i="18" l="1"/>
  <c r="AL358"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58" i="18" l="1"/>
  <c r="AL357" i="18"/>
  <c r="D280" i="15"/>
  <c r="F280" i="15" s="1"/>
  <c r="C46" i="56"/>
  <c r="B46" i="56"/>
  <c r="AM357" i="18" l="1"/>
  <c r="AL356" i="18"/>
  <c r="D279" i="15"/>
  <c r="F279" i="15" s="1"/>
  <c r="O84" i="52"/>
  <c r="W219" i="18"/>
  <c r="D343" i="20"/>
  <c r="AL355" i="18" l="1"/>
  <c r="AM356" i="18"/>
  <c r="D278" i="15"/>
  <c r="F278" i="15" s="1"/>
  <c r="W218" i="18"/>
  <c r="D342" i="20"/>
  <c r="J83" i="52"/>
  <c r="O83" i="52"/>
  <c r="W217" i="18"/>
  <c r="W216" i="18"/>
  <c r="F44" i="14"/>
  <c r="F45" i="14"/>
  <c r="F46" i="14"/>
  <c r="F47" i="14"/>
  <c r="F48" i="14"/>
  <c r="F49" i="14"/>
  <c r="F50" i="14"/>
  <c r="D341" i="20"/>
  <c r="AL354" i="18" l="1"/>
  <c r="AM355" i="18"/>
  <c r="D277" i="15"/>
  <c r="F277" i="15" s="1"/>
  <c r="AM354" i="18" l="1"/>
  <c r="AL353" i="18"/>
  <c r="D276" i="15"/>
  <c r="F276" i="15" s="1"/>
  <c r="W215" i="18"/>
  <c r="AL352" i="18" l="1"/>
  <c r="AM353" i="18"/>
  <c r="D340" i="20"/>
  <c r="W214" i="18"/>
  <c r="H337" i="20"/>
  <c r="H338" i="20"/>
  <c r="H339" i="20"/>
  <c r="H340" i="20"/>
  <c r="H341" i="20"/>
  <c r="H368" i="20"/>
  <c r="H369" i="20"/>
  <c r="D339" i="20"/>
  <c r="AL351" i="18" l="1"/>
  <c r="AM352" i="18"/>
  <c r="B371" i="20"/>
  <c r="D332" i="20"/>
  <c r="D333" i="20"/>
  <c r="D334" i="20"/>
  <c r="D335" i="20"/>
  <c r="D336" i="20"/>
  <c r="D337" i="20"/>
  <c r="D338" i="20"/>
  <c r="D369" i="20"/>
  <c r="AL350" i="18" l="1"/>
  <c r="AM351" i="18"/>
  <c r="W213" i="18"/>
  <c r="D80" i="57"/>
  <c r="AL349" i="18" l="1"/>
  <c r="AM350" i="18"/>
  <c r="G46" i="10"/>
  <c r="AL348" i="18" l="1"/>
  <c r="AM349" i="18"/>
  <c r="D331" i="20"/>
  <c r="AL347" i="18" l="1"/>
  <c r="AM348" i="18"/>
  <c r="D330" i="20"/>
  <c r="AL346" i="18" l="1"/>
  <c r="AM347" i="18"/>
  <c r="W212" i="18"/>
  <c r="W211" i="18"/>
  <c r="AL345" i="18" l="1"/>
  <c r="AM346" i="18"/>
  <c r="D329" i="20"/>
  <c r="AM345" i="18" l="1"/>
  <c r="AL344" i="18"/>
  <c r="L47" i="52"/>
  <c r="AM344" i="18" l="1"/>
  <c r="AL343" i="18"/>
  <c r="AM343" i="18" l="1"/>
  <c r="AL342" i="18"/>
  <c r="D328" i="20"/>
  <c r="D327" i="20"/>
  <c r="AL341" i="18" l="1"/>
  <c r="AM342"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1" i="18" l="1"/>
  <c r="AL340" i="18"/>
  <c r="P83" i="52"/>
  <c r="P91" i="52"/>
  <c r="P90" i="52"/>
  <c r="P82" i="52"/>
  <c r="P89" i="52"/>
  <c r="P88" i="52"/>
  <c r="P84" i="52"/>
  <c r="P80" i="52"/>
  <c r="P85" i="52"/>
  <c r="P81" i="52"/>
  <c r="P79" i="52"/>
  <c r="P86" i="52"/>
  <c r="P78" i="52"/>
  <c r="P77" i="52"/>
  <c r="P76" i="52"/>
  <c r="P75" i="52"/>
  <c r="AL339" i="18" l="1"/>
  <c r="AM340" i="18"/>
  <c r="D326" i="20"/>
  <c r="D325" i="20"/>
  <c r="AM339" i="18" l="1"/>
  <c r="AL338" i="18"/>
  <c r="H320" i="20"/>
  <c r="H321" i="20"/>
  <c r="H322" i="20"/>
  <c r="H323" i="20"/>
  <c r="H324" i="20"/>
  <c r="H325" i="20"/>
  <c r="H326" i="20"/>
  <c r="H327" i="20"/>
  <c r="H328" i="20"/>
  <c r="H329" i="20"/>
  <c r="H330" i="20"/>
  <c r="H331" i="20"/>
  <c r="H332" i="20"/>
  <c r="H333" i="20"/>
  <c r="H334" i="20"/>
  <c r="H335" i="20"/>
  <c r="H336" i="20"/>
  <c r="D324" i="20"/>
  <c r="D323" i="20"/>
  <c r="D322" i="20"/>
  <c r="D321" i="20"/>
  <c r="AL337" i="18" l="1"/>
  <c r="AM338" i="18"/>
  <c r="D320" i="20"/>
  <c r="D319" i="20"/>
  <c r="AL336" i="18" l="1"/>
  <c r="AM337" i="18"/>
  <c r="D318" i="20"/>
  <c r="D317" i="20"/>
  <c r="AL335" i="18" l="1"/>
  <c r="AM336" i="18"/>
  <c r="W210" i="18"/>
  <c r="W209" i="18"/>
  <c r="AL334" i="18" l="1"/>
  <c r="AM335" i="18"/>
  <c r="R172"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34" i="18" l="1"/>
  <c r="AL333" i="18"/>
  <c r="P70" i="52"/>
  <c r="P71" i="52"/>
  <c r="P69" i="52"/>
  <c r="P73" i="52"/>
  <c r="P72" i="52"/>
  <c r="W208" i="18"/>
  <c r="W207" i="18"/>
  <c r="L32" i="18"/>
  <c r="N36" i="52"/>
  <c r="N35" i="52"/>
  <c r="Q42" i="52"/>
  <c r="AL332" i="18" l="1"/>
  <c r="AM333" i="18"/>
  <c r="W206" i="18"/>
  <c r="W205" i="18"/>
  <c r="N34" i="52"/>
  <c r="N33" i="52"/>
  <c r="P42" i="52"/>
  <c r="AL331" i="18" l="1"/>
  <c r="AM332" i="18"/>
  <c r="D316" i="20"/>
  <c r="AL330" i="18" l="1"/>
  <c r="AM331"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0" i="18" l="1"/>
  <c r="AL329" i="18"/>
  <c r="D315" i="20"/>
  <c r="D314" i="20"/>
  <c r="AL328" i="18" l="1"/>
  <c r="AM329" i="18"/>
  <c r="W204" i="18"/>
  <c r="W203" i="18"/>
  <c r="N32" i="52"/>
  <c r="N31" i="52"/>
  <c r="AL327" i="18" l="1"/>
  <c r="AM327" i="18" s="1"/>
  <c r="AM328" i="18"/>
  <c r="W202" i="18"/>
  <c r="W201" i="18"/>
  <c r="N30" i="52"/>
  <c r="N29" i="52"/>
  <c r="W200" i="18" l="1"/>
  <c r="W199" i="18"/>
  <c r="N28" i="52"/>
  <c r="N27" i="52"/>
  <c r="AL326" i="18" l="1"/>
  <c r="D313" i="20"/>
  <c r="AL325" i="18" l="1"/>
  <c r="AM326" i="18"/>
  <c r="L114" i="18"/>
  <c r="L109" i="18" l="1"/>
  <c r="N109" i="18" s="1"/>
  <c r="L111" i="18"/>
  <c r="N111" i="18" s="1"/>
  <c r="L110" i="18"/>
  <c r="N110" i="18" s="1"/>
  <c r="M114" i="18"/>
  <c r="AM325" i="18"/>
  <c r="AL324" i="18"/>
  <c r="L106" i="18"/>
  <c r="W198" i="18"/>
  <c r="W197" i="18"/>
  <c r="N24" i="52"/>
  <c r="N26" i="52"/>
  <c r="N25" i="52"/>
  <c r="AL323" i="18" l="1"/>
  <c r="AM324" i="18"/>
  <c r="L108" i="18"/>
  <c r="D312" i="20"/>
  <c r="D311" i="20"/>
  <c r="D310" i="20"/>
  <c r="H370" i="20"/>
  <c r="G370" i="20"/>
  <c r="G369" i="20" s="1"/>
  <c r="H319" i="20"/>
  <c r="H318" i="20"/>
  <c r="H317" i="20"/>
  <c r="H316" i="20"/>
  <c r="H315" i="20"/>
  <c r="H314" i="20"/>
  <c r="H313" i="20"/>
  <c r="H312" i="20"/>
  <c r="H311" i="20"/>
  <c r="H310" i="20"/>
  <c r="H309" i="20"/>
  <c r="G368" i="20" l="1"/>
  <c r="J369" i="20"/>
  <c r="I369" i="20"/>
  <c r="K369" i="20"/>
  <c r="AM323" i="18"/>
  <c r="AL322" i="18"/>
  <c r="I370" i="20"/>
  <c r="J370" i="20"/>
  <c r="W196" i="18"/>
  <c r="W195" i="18"/>
  <c r="N23" i="52"/>
  <c r="N22" i="52"/>
  <c r="I368" i="20" l="1"/>
  <c r="G367" i="20"/>
  <c r="J368" i="20"/>
  <c r="K368" i="20"/>
  <c r="AL321" i="18"/>
  <c r="AM322" i="18"/>
  <c r="W194" i="18"/>
  <c r="W193" i="18"/>
  <c r="N21" i="52"/>
  <c r="N20" i="52"/>
  <c r="G366" i="20" l="1"/>
  <c r="I367" i="20"/>
  <c r="K367" i="20"/>
  <c r="J367" i="20"/>
  <c r="AL320" i="18"/>
  <c r="AM321" i="18"/>
  <c r="D309" i="20"/>
  <c r="J366" i="20" l="1"/>
  <c r="K366" i="20"/>
  <c r="I366" i="20"/>
  <c r="G365" i="20"/>
  <c r="AL319" i="18"/>
  <c r="AM320" i="18"/>
  <c r="D308" i="20"/>
  <c r="G364" i="20" l="1"/>
  <c r="I365" i="20"/>
  <c r="J365" i="20"/>
  <c r="K365" i="20"/>
  <c r="AL318" i="18"/>
  <c r="AM319" i="18"/>
  <c r="D307" i="20"/>
  <c r="I364" i="20" l="1"/>
  <c r="J364" i="20"/>
  <c r="K364" i="20"/>
  <c r="G363" i="20"/>
  <c r="AL317" i="18"/>
  <c r="AM318" i="18"/>
  <c r="AL177" i="18" l="1"/>
  <c r="G362" i="20"/>
  <c r="I363" i="20"/>
  <c r="J363" i="20"/>
  <c r="K363" i="20"/>
  <c r="AL316" i="18"/>
  <c r="AM317" i="18"/>
  <c r="W192" i="18"/>
  <c r="W191" i="18"/>
  <c r="AL176" i="18" l="1"/>
  <c r="AM177" i="18"/>
  <c r="K362" i="20"/>
  <c r="G361" i="20"/>
  <c r="I362" i="20"/>
  <c r="J362" i="20"/>
  <c r="AL315" i="18"/>
  <c r="AM316" i="18"/>
  <c r="AL175" i="18" l="1"/>
  <c r="AM176" i="18"/>
  <c r="I361" i="20"/>
  <c r="G360" i="20"/>
  <c r="J361" i="20"/>
  <c r="K361" i="20"/>
  <c r="AL314" i="18"/>
  <c r="AM315" i="18"/>
  <c r="G106" i="18"/>
  <c r="F106" i="18" s="1"/>
  <c r="AL174" i="18" l="1"/>
  <c r="AM175" i="18"/>
  <c r="I360" i="20"/>
  <c r="K360" i="20"/>
  <c r="G359" i="20"/>
  <c r="J360" i="20"/>
  <c r="AL313" i="18"/>
  <c r="AM314" i="18"/>
  <c r="D306" i="20"/>
  <c r="AL173" i="18" l="1"/>
  <c r="AM174" i="18"/>
  <c r="G358" i="20"/>
  <c r="J359" i="20"/>
  <c r="K359" i="20"/>
  <c r="I359" i="20"/>
  <c r="AL312" i="18"/>
  <c r="AM313" i="18"/>
  <c r="D305" i="20"/>
  <c r="AL172" i="18" l="1"/>
  <c r="AM173" i="18"/>
  <c r="K358" i="20"/>
  <c r="I358" i="20"/>
  <c r="G357" i="20"/>
  <c r="J358" i="20"/>
  <c r="AL311" i="18"/>
  <c r="AM312" i="18"/>
  <c r="AL171" i="18" l="1"/>
  <c r="AM172" i="18"/>
  <c r="I357" i="20"/>
  <c r="J357" i="20"/>
  <c r="G356" i="20"/>
  <c r="K357" i="20"/>
  <c r="AM311" i="18"/>
  <c r="AL310" i="18"/>
  <c r="D304" i="20"/>
  <c r="W190" i="18"/>
  <c r="W189" i="18"/>
  <c r="N17" i="52"/>
  <c r="N16" i="52"/>
  <c r="AL170" i="18" l="1"/>
  <c r="AM171" i="18"/>
  <c r="I356" i="20"/>
  <c r="G355" i="20"/>
  <c r="J356" i="20"/>
  <c r="K356" i="20"/>
  <c r="L107" i="18"/>
  <c r="AL169" i="18" l="1"/>
  <c r="AL168" i="18" s="1"/>
  <c r="AM170" i="18"/>
  <c r="J355" i="20"/>
  <c r="I355" i="20"/>
  <c r="G354" i="20"/>
  <c r="K355" i="20"/>
  <c r="W188" i="18"/>
  <c r="W187" i="18"/>
  <c r="D303" i="20"/>
  <c r="D302" i="20"/>
  <c r="W186" i="18"/>
  <c r="AL167" i="18" l="1"/>
  <c r="AM168" i="18"/>
  <c r="AM169" i="18"/>
  <c r="K354" i="20"/>
  <c r="J354" i="20"/>
  <c r="G353" i="20"/>
  <c r="I354" i="20"/>
  <c r="D301" i="20"/>
  <c r="D300" i="20"/>
  <c r="D299" i="20"/>
  <c r="AM167" i="18" l="1"/>
  <c r="AL166" i="18"/>
  <c r="I353" i="20"/>
  <c r="G352" i="20"/>
  <c r="J353" i="20"/>
  <c r="K353" i="20"/>
  <c r="X96" i="63"/>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4" i="18"/>
  <c r="AL163" i="18" l="1"/>
  <c r="AM164" i="18"/>
  <c r="I350" i="20"/>
  <c r="J350" i="20"/>
  <c r="K350" i="20"/>
  <c r="G349" i="20"/>
  <c r="D296" i="20"/>
  <c r="D295" i="20"/>
  <c r="AM163" i="18" l="1"/>
  <c r="AL162" i="18"/>
  <c r="K349" i="20"/>
  <c r="I349" i="20"/>
  <c r="J349" i="20"/>
  <c r="G348" i="20"/>
  <c r="W183" i="18"/>
  <c r="W182" i="18"/>
  <c r="L11" i="52"/>
  <c r="L10" i="52"/>
  <c r="AL309" i="18"/>
  <c r="AL308" i="18" s="1"/>
  <c r="AL30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0" i="18"/>
  <c r="AM309" i="18"/>
  <c r="AM308" i="18"/>
  <c r="W181" i="18"/>
  <c r="W180" i="18"/>
  <c r="AM161" i="18" l="1"/>
  <c r="AL160" i="18"/>
  <c r="G346" i="20"/>
  <c r="J347" i="20"/>
  <c r="I347" i="20"/>
  <c r="K347" i="20"/>
  <c r="D293" i="20"/>
  <c r="AL159" i="18" l="1"/>
  <c r="AM160" i="18"/>
  <c r="K346" i="20"/>
  <c r="G345" i="20"/>
  <c r="J346" i="20"/>
  <c r="I346" i="20"/>
  <c r="W179" i="18"/>
  <c r="AM159" i="18" l="1"/>
  <c r="AL158" i="18"/>
  <c r="K345" i="20"/>
  <c r="G344" i="20"/>
  <c r="J345" i="20"/>
  <c r="I345" i="20"/>
  <c r="D292" i="20"/>
  <c r="C8" i="36"/>
  <c r="W17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06" i="18"/>
  <c r="AL305" i="18" s="1"/>
  <c r="D288" i="20"/>
  <c r="AL153" i="18" l="1"/>
  <c r="AM154" i="18"/>
  <c r="I340" i="20"/>
  <c r="K340" i="20"/>
  <c r="G339" i="20"/>
  <c r="J340" i="20"/>
  <c r="AM307" i="18"/>
  <c r="AM30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6"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4" i="18"/>
  <c r="AM124" i="18" l="1"/>
  <c r="AL123" i="18"/>
  <c r="AM123" i="18" l="1"/>
  <c r="AL122" i="18"/>
  <c r="AL121" i="18" l="1"/>
  <c r="AM122" i="18"/>
  <c r="W168" i="18"/>
  <c r="W169" i="18"/>
  <c r="W170" i="18"/>
  <c r="W171" i="18"/>
  <c r="W172" i="18"/>
  <c r="W173" i="18"/>
  <c r="W185" i="18"/>
  <c r="W167" i="18"/>
  <c r="AM121" i="18" l="1"/>
  <c r="AL120" i="18"/>
  <c r="N53" i="18"/>
  <c r="AM120" i="18" l="1"/>
  <c r="AL119" i="18"/>
  <c r="AM119" i="18" l="1"/>
  <c r="AL118" i="18"/>
  <c r="S82" i="18"/>
  <c r="S83" i="18" s="1"/>
  <c r="S84" i="18" s="1"/>
  <c r="R173" i="18"/>
  <c r="R171" i="18"/>
  <c r="D57" i="51"/>
  <c r="AL117" i="18" l="1"/>
  <c r="AM118" i="18"/>
  <c r="S85" i="18"/>
  <c r="S86" i="18" s="1"/>
  <c r="AM117" i="18" l="1"/>
  <c r="AL116" i="18"/>
  <c r="S87" i="18"/>
  <c r="S88" i="18" s="1"/>
  <c r="N30" i="18"/>
  <c r="R170" i="18" s="1"/>
  <c r="Q100"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S91" i="18" s="1"/>
  <c r="S92" i="18" s="1"/>
  <c r="AL113" i="18"/>
  <c r="AM114" i="18"/>
  <c r="S20" i="18"/>
  <c r="S21" i="18" s="1"/>
  <c r="AL112" i="18" l="1"/>
  <c r="AM113" i="18"/>
  <c r="Q144" i="18" l="1"/>
  <c r="AM112" i="18"/>
  <c r="AL111" i="18"/>
  <c r="D108" i="50"/>
  <c r="AL110" i="18" l="1"/>
  <c r="AM111"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S93" i="18" l="1"/>
  <c r="S94" i="18" s="1"/>
  <c r="S95" i="18" s="1"/>
  <c r="S96" i="18" s="1"/>
  <c r="S97" i="18" s="1"/>
  <c r="S98" i="18" s="1"/>
  <c r="AL105" i="18"/>
  <c r="AM106" i="18"/>
  <c r="AL104" i="18" l="1"/>
  <c r="AM105" i="18"/>
  <c r="AL304" i="18"/>
  <c r="AM305" i="18"/>
  <c r="AL103" i="18" l="1"/>
  <c r="AM104" i="18"/>
  <c r="AL303" i="18"/>
  <c r="AM304" i="18"/>
  <c r="AL102" i="18" l="1"/>
  <c r="AM103" i="18"/>
  <c r="AL302" i="18"/>
  <c r="AM303" i="18"/>
  <c r="S22" i="18"/>
  <c r="S23" i="18" s="1"/>
  <c r="AL101" i="18" l="1"/>
  <c r="AM102" i="18"/>
  <c r="AL301" i="18"/>
  <c r="AM30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1" i="18"/>
  <c r="AL300" i="18"/>
  <c r="D73" i="48"/>
  <c r="N107" i="18" l="1"/>
  <c r="AL99" i="18"/>
  <c r="AM100" i="18"/>
  <c r="AL299" i="18"/>
  <c r="AM300" i="18"/>
  <c r="AM99" i="18" l="1"/>
  <c r="AL98" i="18"/>
  <c r="AL298" i="18"/>
  <c r="AM299" i="18"/>
  <c r="AL97" i="18" l="1"/>
  <c r="AM98" i="18"/>
  <c r="AL297" i="18"/>
  <c r="AM298" i="18"/>
  <c r="S29" i="18" l="1"/>
  <c r="S30" i="18" s="1"/>
  <c r="S31" i="18" s="1"/>
  <c r="AM97" i="18"/>
  <c r="AL96" i="18"/>
  <c r="AL296" i="18"/>
  <c r="AM297" i="18"/>
  <c r="N23" i="33"/>
  <c r="D23" i="33" s="1"/>
  <c r="AM96" i="18" l="1"/>
  <c r="AL95" i="18"/>
  <c r="AL295" i="18"/>
  <c r="AM29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94" i="18"/>
  <c r="AM295" i="18"/>
  <c r="N21" i="18"/>
  <c r="R169" i="18" s="1"/>
  <c r="I146" i="18" l="1"/>
  <c r="I147" i="18" s="1"/>
  <c r="M106" i="18"/>
  <c r="Q77" i="18"/>
  <c r="AJ473" i="18"/>
  <c r="AJ474" i="18" s="1"/>
  <c r="AM94" i="18"/>
  <c r="AL93" i="18"/>
  <c r="AL293" i="18"/>
  <c r="AM294" i="18"/>
  <c r="AL92" i="18" l="1"/>
  <c r="AM93" i="18"/>
  <c r="AL292" i="18"/>
  <c r="AM293" i="18"/>
  <c r="AL91" i="18" l="1"/>
  <c r="AM92" i="18"/>
  <c r="AM292" i="18"/>
  <c r="AL291" i="18"/>
  <c r="AL90" i="18" l="1"/>
  <c r="AM91" i="18"/>
  <c r="AL290" i="18"/>
  <c r="AM291" i="18"/>
  <c r="AM90" i="18" l="1"/>
  <c r="AL89" i="18"/>
  <c r="AM290" i="18"/>
  <c r="AL289" i="18"/>
  <c r="AL88" i="18" l="1"/>
  <c r="AM89" i="18"/>
  <c r="AM289" i="18"/>
  <c r="AL288" i="18"/>
  <c r="AM88" i="18" l="1"/>
  <c r="AL87" i="18"/>
  <c r="AL287" i="18"/>
  <c r="AM288" i="18"/>
  <c r="B10" i="36"/>
  <c r="AL86" i="18" l="1"/>
  <c r="AM87" i="18"/>
  <c r="AL286" i="18"/>
  <c r="AM287" i="18"/>
  <c r="AL85" i="18" l="1"/>
  <c r="AM86" i="18"/>
  <c r="AL285" i="18"/>
  <c r="AM286" i="18"/>
  <c r="N25" i="33"/>
  <c r="N24" i="33"/>
  <c r="N21" i="33"/>
  <c r="N20" i="33"/>
  <c r="N19" i="33"/>
  <c r="N18" i="33"/>
  <c r="L18" i="33" s="1"/>
  <c r="N17" i="33"/>
  <c r="N9" i="33"/>
  <c r="N3" i="33"/>
  <c r="N4" i="33"/>
  <c r="AL84" i="18" l="1"/>
  <c r="AM85" i="18"/>
  <c r="AM285" i="18"/>
  <c r="AL284"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84" i="18"/>
  <c r="AL283" i="18"/>
  <c r="AC15" i="33"/>
  <c r="AL82" i="18" l="1"/>
  <c r="AM83" i="18"/>
  <c r="AM283" i="18"/>
  <c r="AL282" i="18"/>
  <c r="N16" i="33"/>
  <c r="AL81" i="18" l="1"/>
  <c r="AM82" i="18"/>
  <c r="AM282" i="18"/>
  <c r="AL281" i="18"/>
  <c r="AM281" i="18" s="1"/>
  <c r="L16" i="33"/>
  <c r="J16" i="33"/>
  <c r="F16" i="33"/>
  <c r="C16" i="33"/>
  <c r="K16" i="33"/>
  <c r="G16" i="33"/>
  <c r="H16" i="33"/>
  <c r="D16" i="33"/>
  <c r="I16" i="33"/>
  <c r="E16" i="33"/>
  <c r="B16" i="33"/>
  <c r="R16" i="33"/>
  <c r="S32" i="18" l="1"/>
  <c r="S33" i="18" s="1"/>
  <c r="S34" i="18" s="1"/>
  <c r="S35" i="18" s="1"/>
  <c r="S36" i="18" s="1"/>
  <c r="S37" i="18" s="1"/>
  <c r="S38" i="18" s="1"/>
  <c r="S39" i="18" s="1"/>
  <c r="S40" i="18" s="1"/>
  <c r="AM469" i="18"/>
  <c r="AN469" i="18" s="1"/>
  <c r="AJ47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75" i="18"/>
  <c r="AJ47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4" i="18" s="1"/>
  <c r="S60" i="18"/>
  <c r="G306" i="20"/>
  <c r="J307" i="20"/>
  <c r="I307" i="20"/>
  <c r="K307" i="20"/>
  <c r="AL75" i="18"/>
  <c r="AM76" i="18"/>
  <c r="S65" i="18" l="1"/>
  <c r="S66" i="18" s="1"/>
  <c r="S67" i="18" s="1"/>
  <c r="S68" i="18" s="1"/>
  <c r="S69" i="18" s="1"/>
  <c r="N106" i="18"/>
  <c r="N114" i="18" s="1"/>
  <c r="R168" i="18"/>
  <c r="R184" i="18" s="1"/>
  <c r="AJ270" i="18"/>
  <c r="AJ271" i="18" s="1"/>
  <c r="G305" i="20"/>
  <c r="I306" i="20"/>
  <c r="K306" i="20"/>
  <c r="J306" i="20"/>
  <c r="AL74" i="18"/>
  <c r="AM75" i="18"/>
  <c r="S70" i="18" l="1"/>
  <c r="S71" i="18" s="1"/>
  <c r="S72" i="18" s="1"/>
  <c r="T481" i="18"/>
  <c r="V484" i="18" s="1"/>
  <c r="U494" i="18"/>
  <c r="V494" i="18" s="1"/>
  <c r="G304" i="20"/>
  <c r="I305" i="20"/>
  <c r="K305" i="20"/>
  <c r="J305" i="20"/>
  <c r="AL73" i="18"/>
  <c r="AM74" i="18"/>
  <c r="R104" i="18"/>
  <c r="V72" i="18" l="1"/>
  <c r="V71" i="18"/>
  <c r="W71" i="18" s="1"/>
  <c r="V70" i="18"/>
  <c r="V68" i="18"/>
  <c r="W68" i="18" s="1"/>
  <c r="V69" i="18"/>
  <c r="V65" i="18"/>
  <c r="V67" i="18"/>
  <c r="V66" i="18"/>
  <c r="V63" i="18"/>
  <c r="V64" i="18"/>
  <c r="V62" i="18"/>
  <c r="X62" i="18" s="1"/>
  <c r="V61" i="18"/>
  <c r="W61" i="18" s="1"/>
  <c r="V97" i="18"/>
  <c r="V96" i="18"/>
  <c r="V95" i="18"/>
  <c r="V60" i="18"/>
  <c r="X60" i="18" s="1"/>
  <c r="V94" i="18"/>
  <c r="V59" i="18"/>
  <c r="W59" i="18" s="1"/>
  <c r="V93" i="18"/>
  <c r="V92" i="18"/>
  <c r="W92" i="18" s="1"/>
  <c r="V58" i="18"/>
  <c r="V76" i="18"/>
  <c r="V75" i="18"/>
  <c r="V47" i="18"/>
  <c r="V48" i="18"/>
  <c r="V51" i="18"/>
  <c r="V52" i="18"/>
  <c r="V55" i="18"/>
  <c r="V57" i="18"/>
  <c r="V49" i="18"/>
  <c r="V50" i="18"/>
  <c r="V53" i="18"/>
  <c r="V54" i="18"/>
  <c r="V56" i="18"/>
  <c r="V143" i="18"/>
  <c r="V46" i="18"/>
  <c r="V44" i="18"/>
  <c r="V45" i="18"/>
  <c r="V43" i="18"/>
  <c r="V42" i="18"/>
  <c r="V41" i="18"/>
  <c r="V37" i="18"/>
  <c r="V38" i="18"/>
  <c r="V39" i="18"/>
  <c r="V40" i="18"/>
  <c r="V35" i="18"/>
  <c r="V36" i="18"/>
  <c r="V34" i="18"/>
  <c r="V31" i="18"/>
  <c r="V32" i="18"/>
  <c r="V33" i="18"/>
  <c r="V91" i="18"/>
  <c r="W153" i="18"/>
  <c r="V99" i="18"/>
  <c r="W155" i="18"/>
  <c r="V108" i="18"/>
  <c r="V90" i="18"/>
  <c r="W90" i="18" s="1"/>
  <c r="V30" i="18"/>
  <c r="V29" i="18"/>
  <c r="V28" i="18"/>
  <c r="W28" i="18" s="1"/>
  <c r="V89" i="18"/>
  <c r="V88" i="18"/>
  <c r="V27" i="18"/>
  <c r="G303" i="20"/>
  <c r="K304" i="20"/>
  <c r="I304" i="20"/>
  <c r="J304" i="20"/>
  <c r="V26" i="18"/>
  <c r="W26" i="18" s="1"/>
  <c r="V87" i="18"/>
  <c r="V25" i="18"/>
  <c r="V24" i="18"/>
  <c r="W24" i="18" s="1"/>
  <c r="V86" i="18"/>
  <c r="V23" i="18"/>
  <c r="X23" i="18" s="1"/>
  <c r="V85" i="18"/>
  <c r="V84" i="18"/>
  <c r="V83" i="18"/>
  <c r="V22" i="18"/>
  <c r="V21" i="18"/>
  <c r="V20" i="18"/>
  <c r="AL72" i="18"/>
  <c r="AM73" i="18"/>
  <c r="W159" i="18" l="1"/>
  <c r="W72" i="18"/>
  <c r="X72" i="18"/>
  <c r="X71" i="18"/>
  <c r="W70" i="18"/>
  <c r="X70" i="18"/>
  <c r="X68" i="18"/>
  <c r="W69" i="18"/>
  <c r="X69" i="18"/>
  <c r="W66" i="18"/>
  <c r="X66" i="18"/>
  <c r="W67" i="18"/>
  <c r="X67" i="18"/>
  <c r="W65" i="18"/>
  <c r="X65" i="18"/>
  <c r="W64" i="18"/>
  <c r="X64" i="18"/>
  <c r="W63" i="18"/>
  <c r="X63" i="18"/>
  <c r="X61" i="18"/>
  <c r="W62" i="18"/>
  <c r="X92" i="18"/>
  <c r="W96" i="18"/>
  <c r="X96" i="18"/>
  <c r="W97" i="18"/>
  <c r="X97" i="18"/>
  <c r="W95" i="18"/>
  <c r="X95" i="18"/>
  <c r="W60" i="18"/>
  <c r="W94" i="18"/>
  <c r="X94" i="18"/>
  <c r="X59" i="18"/>
  <c r="X93" i="18"/>
  <c r="W93" i="18"/>
  <c r="X75" i="18"/>
  <c r="W75" i="18"/>
  <c r="W58" i="18"/>
  <c r="X58" i="18"/>
  <c r="X76" i="18"/>
  <c r="W76" i="18"/>
  <c r="W56" i="18"/>
  <c r="X56" i="18"/>
  <c r="W53" i="18"/>
  <c r="X53" i="18"/>
  <c r="W49" i="18"/>
  <c r="X49" i="18"/>
  <c r="W55" i="18"/>
  <c r="X55" i="18"/>
  <c r="W51" i="18"/>
  <c r="X51" i="18"/>
  <c r="W47" i="18"/>
  <c r="X47" i="18"/>
  <c r="W54" i="18"/>
  <c r="X54" i="18"/>
  <c r="W50" i="18"/>
  <c r="X50" i="18"/>
  <c r="X57" i="18"/>
  <c r="W57" i="18"/>
  <c r="X52" i="18"/>
  <c r="W52" i="18"/>
  <c r="X48" i="18"/>
  <c r="W48" i="18"/>
  <c r="X143" i="18"/>
  <c r="W143"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1" i="18"/>
  <c r="X91" i="18"/>
  <c r="W99" i="18"/>
  <c r="X99" i="18"/>
  <c r="X90" i="18"/>
  <c r="X30" i="18"/>
  <c r="W30" i="18"/>
  <c r="W29" i="18"/>
  <c r="X29" i="18"/>
  <c r="X28" i="18"/>
  <c r="W89" i="18"/>
  <c r="X89" i="18"/>
  <c r="W88" i="18"/>
  <c r="X88" i="18"/>
  <c r="W27" i="18"/>
  <c r="X27" i="18"/>
  <c r="W154" i="18"/>
  <c r="G302" i="20"/>
  <c r="K303" i="20"/>
  <c r="I303" i="20"/>
  <c r="J303" i="20"/>
  <c r="X26" i="18"/>
  <c r="W87" i="18"/>
  <c r="X87" i="18"/>
  <c r="W25" i="18"/>
  <c r="X25" i="18"/>
  <c r="X24" i="18"/>
  <c r="W86" i="18"/>
  <c r="X86" i="18"/>
  <c r="W23" i="18"/>
  <c r="W85" i="18"/>
  <c r="X85" i="18"/>
  <c r="W84" i="18"/>
  <c r="X84" i="18"/>
  <c r="N33" i="18"/>
  <c r="W152" i="18"/>
  <c r="X83" i="18"/>
  <c r="W83" i="18"/>
  <c r="W22" i="18"/>
  <c r="X22" i="18"/>
  <c r="W20" i="18"/>
  <c r="X20" i="18"/>
  <c r="W108" i="18"/>
  <c r="X108" i="18"/>
  <c r="W21" i="18"/>
  <c r="X21" i="18"/>
  <c r="AL71" i="18"/>
  <c r="AM72" i="18"/>
  <c r="W158" i="18" l="1"/>
  <c r="X152" i="18" s="1"/>
  <c r="W160" i="18"/>
  <c r="W161" i="18" s="1"/>
  <c r="N61" i="18"/>
  <c r="G148" i="18"/>
  <c r="I148" i="18"/>
  <c r="I149" i="18"/>
  <c r="G149" i="18"/>
  <c r="L21" i="18"/>
  <c r="G301" i="20"/>
  <c r="I302" i="20"/>
  <c r="K302" i="20"/>
  <c r="J302" i="20"/>
  <c r="AL70" i="18"/>
  <c r="AM71" i="18"/>
  <c r="X155" i="18" l="1"/>
  <c r="X153" i="18"/>
  <c r="X154" i="18"/>
  <c r="G150" i="18"/>
  <c r="I15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64" i="18"/>
  <c r="G250" i="20"/>
  <c r="I251" i="20"/>
  <c r="J251" i="20"/>
  <c r="K251" i="20"/>
  <c r="F246" i="15"/>
  <c r="D245" i="15"/>
  <c r="E173" i="13"/>
  <c r="G174" i="13"/>
  <c r="U2123" i="41" l="1"/>
  <c r="V2123" i="41" s="1"/>
  <c r="X2123" i="41" s="1"/>
  <c r="G249" i="20"/>
  <c r="J250" i="20"/>
  <c r="K250" i="20"/>
  <c r="I250" i="20"/>
  <c r="F245" i="15"/>
  <c r="D244" i="15"/>
  <c r="AN264" i="18"/>
  <c r="AJ269" i="18" s="1"/>
  <c r="E172" i="13"/>
  <c r="G173" i="13"/>
  <c r="D62" i="38"/>
  <c r="AJ273" i="18" l="1"/>
  <c r="J249" i="20"/>
  <c r="I249" i="20"/>
  <c r="K249" i="20"/>
  <c r="G248" i="20"/>
  <c r="F244" i="15"/>
  <c r="D243" i="15"/>
  <c r="AJ272"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0" i="18" l="1"/>
  <c r="B24" i="26"/>
  <c r="B2" i="27" s="1"/>
  <c r="G2" i="26"/>
  <c r="G25" i="26" s="1"/>
  <c r="G84" i="20"/>
  <c r="J85" i="20"/>
  <c r="I85" i="20"/>
  <c r="K85" i="20"/>
  <c r="E48" i="18"/>
  <c r="I2" i="22"/>
  <c r="I25" i="22" s="1"/>
  <c r="I30" i="22" s="1"/>
  <c r="D24" i="22"/>
  <c r="C24" i="23"/>
  <c r="C2" i="24" s="1"/>
  <c r="H2" i="23"/>
  <c r="D2" i="23"/>
  <c r="G5" i="13"/>
  <c r="E4" i="13"/>
  <c r="F79" i="15"/>
  <c r="C49" i="18"/>
  <c r="S111" i="18" l="1"/>
  <c r="S112" i="18" s="1"/>
  <c r="S113" i="18" s="1"/>
  <c r="S114" i="18" s="1"/>
  <c r="V10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13" i="18" l="1"/>
  <c r="X113" i="18" s="1"/>
  <c r="W109" i="18"/>
  <c r="X10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14" i="18" l="1"/>
  <c r="W113" i="18"/>
  <c r="V110" i="18"/>
  <c r="G2" i="29"/>
  <c r="G25" i="29" s="1"/>
  <c r="B24" i="29"/>
  <c r="B2" i="30" s="1"/>
  <c r="I2" i="25"/>
  <c r="I25" i="25" s="1"/>
  <c r="I30" i="25" s="1"/>
  <c r="D24" i="25"/>
  <c r="C24" i="26"/>
  <c r="C2" i="27" s="1"/>
  <c r="H2" i="26"/>
  <c r="H25" i="26" s="1"/>
  <c r="H30" i="26" s="1"/>
  <c r="D2" i="26"/>
  <c r="G81" i="20"/>
  <c r="K82" i="20"/>
  <c r="I82" i="20"/>
  <c r="J82" i="20"/>
  <c r="F76" i="15"/>
  <c r="C52" i="18"/>
  <c r="E51" i="18"/>
  <c r="W114" i="18" l="1"/>
  <c r="X114" i="18"/>
  <c r="W110" i="18"/>
  <c r="X11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1" i="18" l="1"/>
  <c r="I2" i="48"/>
  <c r="I28" i="48" s="1"/>
  <c r="I33" i="48" s="1"/>
  <c r="D27" i="48"/>
  <c r="B32" i="55"/>
  <c r="B2" i="57" s="1"/>
  <c r="G2" i="55"/>
  <c r="G33" i="55" s="1"/>
  <c r="C27" i="50"/>
  <c r="C2" i="51" s="1"/>
  <c r="H2" i="50"/>
  <c r="H28" i="50" s="1"/>
  <c r="H33" i="50" s="1"/>
  <c r="D2" i="50"/>
  <c r="G68" i="20"/>
  <c r="I69" i="20"/>
  <c r="J69" i="20"/>
  <c r="K69" i="20"/>
  <c r="F63" i="15"/>
  <c r="X111" i="18" l="1"/>
  <c r="W11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2" i="18" l="1"/>
  <c r="W112" i="18" s="1"/>
  <c r="H2" i="58"/>
  <c r="H35" i="58" s="1"/>
  <c r="H40" i="58" s="1"/>
  <c r="C34" i="58"/>
  <c r="D2" i="58"/>
  <c r="I2" i="57"/>
  <c r="I35" i="57" s="1"/>
  <c r="I40" i="57" s="1"/>
  <c r="D34" i="57"/>
  <c r="G63" i="20"/>
  <c r="K64" i="20"/>
  <c r="J64" i="20"/>
  <c r="I64" i="20"/>
  <c r="F58" i="15"/>
  <c r="X11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15" i="18" l="1"/>
  <c r="G57" i="20"/>
  <c r="I58" i="20"/>
  <c r="J58" i="20"/>
  <c r="K58" i="20"/>
  <c r="F52" i="15"/>
  <c r="S116" i="18" l="1"/>
  <c r="S117" i="18" s="1"/>
  <c r="V115" i="18"/>
  <c r="G56" i="20"/>
  <c r="K57" i="20"/>
  <c r="J57" i="20"/>
  <c r="I57" i="20"/>
  <c r="F51" i="15"/>
  <c r="X115" i="18" l="1"/>
  <c r="W115" i="18"/>
  <c r="V116" i="18"/>
  <c r="G55" i="20"/>
  <c r="I56" i="20"/>
  <c r="K56" i="20"/>
  <c r="J56" i="20"/>
  <c r="F50" i="15"/>
  <c r="W116" i="18" l="1"/>
  <c r="X11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17" i="18" l="1"/>
  <c r="W117" i="18" s="1"/>
  <c r="S118" i="18"/>
  <c r="S119" i="18" s="1"/>
  <c r="G34" i="20"/>
  <c r="J35" i="20"/>
  <c r="K35" i="20"/>
  <c r="I35" i="20"/>
  <c r="F29" i="15"/>
  <c r="X117" i="18" l="1"/>
  <c r="V118" i="18"/>
  <c r="W118" i="18" s="1"/>
  <c r="G33" i="20"/>
  <c r="K34" i="20"/>
  <c r="J34" i="20"/>
  <c r="I34" i="20"/>
  <c r="F28" i="15"/>
  <c r="V119" i="18" l="1"/>
  <c r="X119" i="18" s="1"/>
  <c r="S120" i="18"/>
  <c r="S121" i="18" s="1"/>
  <c r="X118" i="18"/>
  <c r="G32" i="20"/>
  <c r="K33" i="20"/>
  <c r="J33" i="20"/>
  <c r="I33" i="20"/>
  <c r="F27" i="15"/>
  <c r="W119" i="18" l="1"/>
  <c r="V120" i="18"/>
  <c r="W120" i="18" s="1"/>
  <c r="G31" i="20"/>
  <c r="J32" i="20"/>
  <c r="K32" i="20"/>
  <c r="I32" i="20"/>
  <c r="F26" i="15"/>
  <c r="X120" i="18" l="1"/>
  <c r="G30" i="20"/>
  <c r="J31" i="20"/>
  <c r="K31" i="20"/>
  <c r="I31" i="20"/>
  <c r="F25" i="15"/>
  <c r="G29" i="20" l="1"/>
  <c r="J30" i="20"/>
  <c r="K30" i="20"/>
  <c r="I30" i="20"/>
  <c r="F24" i="15"/>
  <c r="V121" i="18" l="1"/>
  <c r="W121" i="18" s="1"/>
  <c r="S122" i="18"/>
  <c r="S123" i="18" s="1"/>
  <c r="S124" i="18" s="1"/>
  <c r="G28" i="20"/>
  <c r="I29" i="20"/>
  <c r="J29" i="20"/>
  <c r="K29" i="20"/>
  <c r="F23" i="15"/>
  <c r="V123" i="18" l="1"/>
  <c r="X121" i="18"/>
  <c r="V122" i="18"/>
  <c r="G27" i="20"/>
  <c r="I28" i="20"/>
  <c r="J28" i="20"/>
  <c r="K28" i="20"/>
  <c r="F22" i="15"/>
  <c r="X123" i="18" l="1"/>
  <c r="W123" i="18"/>
  <c r="W122" i="18"/>
  <c r="X122" i="18"/>
  <c r="G26" i="20"/>
  <c r="J27" i="20"/>
  <c r="K27" i="20"/>
  <c r="I27" i="20"/>
  <c r="F21" i="15"/>
  <c r="V124" i="18" l="1"/>
  <c r="X124" i="18" s="1"/>
  <c r="S125" i="18"/>
  <c r="S126" i="18" s="1"/>
  <c r="G25" i="20"/>
  <c r="J26" i="20"/>
  <c r="K26" i="20"/>
  <c r="I26" i="20"/>
  <c r="F20" i="15"/>
  <c r="W124" i="18" l="1"/>
  <c r="V125" i="18"/>
  <c r="G24" i="20"/>
  <c r="K25" i="20"/>
  <c r="J25" i="20"/>
  <c r="I25" i="20"/>
  <c r="F19" i="15"/>
  <c r="W125" i="18" l="1"/>
  <c r="X125" i="18"/>
  <c r="G23" i="20"/>
  <c r="I24" i="20"/>
  <c r="J24" i="20"/>
  <c r="K24" i="20"/>
  <c r="F18" i="15"/>
  <c r="G22" i="20" l="1"/>
  <c r="J23" i="20"/>
  <c r="K23" i="20"/>
  <c r="I23" i="20"/>
  <c r="F17" i="15"/>
  <c r="G21" i="20" l="1"/>
  <c r="J22" i="20"/>
  <c r="K22" i="20"/>
  <c r="I22" i="20"/>
  <c r="F16" i="15"/>
  <c r="G20" i="20" l="1"/>
  <c r="I21" i="20"/>
  <c r="J21" i="20"/>
  <c r="K21" i="20"/>
  <c r="F15" i="15"/>
  <c r="V126" i="18" l="1"/>
  <c r="W126" i="18" s="1"/>
  <c r="S127" i="18"/>
  <c r="G19" i="20"/>
  <c r="I20" i="20"/>
  <c r="J20" i="20"/>
  <c r="K20" i="20"/>
  <c r="F14" i="15"/>
  <c r="X126" i="18" l="1"/>
  <c r="S128" i="18"/>
  <c r="V127" i="18"/>
  <c r="G18" i="20"/>
  <c r="J19" i="20"/>
  <c r="K19" i="20"/>
  <c r="I19" i="20"/>
  <c r="F13" i="15"/>
  <c r="V128" i="18" l="1"/>
  <c r="W128" i="18" s="1"/>
  <c r="S129" i="18"/>
  <c r="S130" i="18" s="1"/>
  <c r="S131" i="18" s="1"/>
  <c r="S132" i="18" s="1"/>
  <c r="S133" i="18" s="1"/>
  <c r="W127" i="18"/>
  <c r="X127" i="18"/>
  <c r="G17" i="20"/>
  <c r="K18" i="20"/>
  <c r="I18" i="20"/>
  <c r="J18" i="20"/>
  <c r="F12" i="15"/>
  <c r="X128" i="18" l="1"/>
  <c r="S134" i="18"/>
  <c r="V129" i="18"/>
  <c r="G16" i="20"/>
  <c r="I17" i="20"/>
  <c r="K17" i="20"/>
  <c r="J17" i="20"/>
  <c r="F11" i="15"/>
  <c r="V133" i="18" l="1"/>
  <c r="W133" i="18" s="1"/>
  <c r="W129" i="18"/>
  <c r="X129" i="18"/>
  <c r="G15" i="20"/>
  <c r="I16" i="20"/>
  <c r="J16" i="20"/>
  <c r="K16" i="20"/>
  <c r="F10" i="15"/>
  <c r="X133" i="18" l="1"/>
  <c r="V130" i="18"/>
  <c r="G14" i="20"/>
  <c r="J15" i="20"/>
  <c r="K15" i="20"/>
  <c r="I15" i="20"/>
  <c r="F9" i="15"/>
  <c r="S135" i="18" l="1"/>
  <c r="V134" i="18"/>
  <c r="W130" i="18"/>
  <c r="X130" i="18"/>
  <c r="G13" i="20"/>
  <c r="K14" i="20"/>
  <c r="I14" i="20"/>
  <c r="J14" i="20"/>
  <c r="F8" i="15"/>
  <c r="V135" i="18" l="1"/>
  <c r="W135" i="18" s="1"/>
  <c r="S136" i="18"/>
  <c r="W134" i="18"/>
  <c r="X134" i="18"/>
  <c r="G12" i="20"/>
  <c r="I13" i="20"/>
  <c r="J13" i="20"/>
  <c r="K13" i="20"/>
  <c r="F7" i="15"/>
  <c r="X135" i="18" l="1"/>
  <c r="V136" i="18"/>
  <c r="W136" i="18" s="1"/>
  <c r="S137" i="18"/>
  <c r="G11" i="20"/>
  <c r="I12" i="20"/>
  <c r="J12" i="20"/>
  <c r="K12" i="20"/>
  <c r="F6" i="15"/>
  <c r="X136" i="18" l="1"/>
  <c r="V137" i="18"/>
  <c r="X137" i="18" s="1"/>
  <c r="S138" i="18"/>
  <c r="G10" i="20"/>
  <c r="J11" i="20"/>
  <c r="K11" i="20"/>
  <c r="I11" i="20"/>
  <c r="F5" i="15"/>
  <c r="V138" i="18" l="1"/>
  <c r="W138" i="18" s="1"/>
  <c r="S139" i="18"/>
  <c r="W137" i="18"/>
  <c r="G9" i="20"/>
  <c r="K10" i="20"/>
  <c r="I10" i="20"/>
  <c r="J10" i="20"/>
  <c r="F4" i="15"/>
  <c r="X138" i="18" l="1"/>
  <c r="V139" i="18"/>
  <c r="W139" i="18" s="1"/>
  <c r="S140" i="18"/>
  <c r="V140" i="18" s="1"/>
  <c r="V131" i="18"/>
  <c r="X131" i="18" s="1"/>
  <c r="G8" i="20"/>
  <c r="J9" i="20"/>
  <c r="K9" i="20"/>
  <c r="I9" i="20"/>
  <c r="F2" i="15"/>
  <c r="F3" i="15"/>
  <c r="X139" i="18" l="1"/>
  <c r="W140" i="18"/>
  <c r="X140" i="18"/>
  <c r="W131" i="18"/>
  <c r="V132" i="18"/>
  <c r="G7" i="20"/>
  <c r="I8" i="20"/>
  <c r="K8" i="20"/>
  <c r="J8" i="20"/>
  <c r="F422" i="15"/>
  <c r="F425" i="15" s="1"/>
  <c r="X132" i="18" l="1"/>
  <c r="W132" i="18"/>
  <c r="G6" i="20"/>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<sst xmlns="http://schemas.openxmlformats.org/spreadsheetml/2006/main" count="15802" uniqueCount="6512">
  <si>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</si>
  <si>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</si>
  <si>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</si>
  <si>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</si>
  <si>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</si>
  <si>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</si>
  <si>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</si>
  <si>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</si>
  <si>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</si>
  <si>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</si>
  <si>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</si>
  <si>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</si>
  <si>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</si>
  <si>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</si>
  <si>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</si>
  <si>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</si>
  <si>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</si>
  <si>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</si>
  <si>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</si>
  <si>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</si>
  <si>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</si>
  <si>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</si>
  <si>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</si>
  <si>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</si>
  <si>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</si>
  <si>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</si>
  <si>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</si>
  <si>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</si>
  <si>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</si>
  <si>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</si>
  <si>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</si>
  <si>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</si>
  <si>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</si>
  <si>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</si>
  <si>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</si>
  <si>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</si>
  <si>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</si>
  <si>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</si>
  <si>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</si>
  <si>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</si>
  <si>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</si>
  <si>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</si>
  <si>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</si>
  <si>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</si>
  <si>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</si>
  <si>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</si>
  <si>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</si>
  <si>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</si>
  <si>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</si>
  <si>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</si>
  <si>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</si>
  <si>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</si>
  <si>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</si>
  <si>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</si>
  <si>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</si>
  <si>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</si>
  <si>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</si>
  <si>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</si>
  <si>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</si>
  <si>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</si>
  <si>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</si>
  <si>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</si>
  <si>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</si>
  <si>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</si>
  <si>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</si>
  <si>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</si>
  <si>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</si>
  <si>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</si>
  <si>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</si>
  <si>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</si>
  <si>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</si>
  <si>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</si>
  <si>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</si>
  <si>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</si>
  <si>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</si>
  <si>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</si>
  <si>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</si>
  <si>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</si>
  <si>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</si>
  <si>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</si>
  <si>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</si>
  <si>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</si>
  <si>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</si>
  <si>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</si>
  <si>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</si>
  <si>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</si>
  <si>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</si>
  <si>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</si>
  <si>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</si>
  <si>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</si>
  <si>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</si>
  <si>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</si>
  <si>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</si>
  <si>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</si>
  <si>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</si>
  <si>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</si>
  <si>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</si>
  <si>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</si>
  <si>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</si>
  <si>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</si>
  <si>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</si>
  <si>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</si>
  <si>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</si>
  <si>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</si>
  <si>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</si>
  <si>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</si>
  <si>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</si>
  <si>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</si>
  <si>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</si>
  <si>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</si>
  <si>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</si>
  <si>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</si>
  <si>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</si>
  <si>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</si>
  <si>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</si>
  <si>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</si>
  <si>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</si>
  <si>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</si>
  <si>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</si>
  <si>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</si>
  <si>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</si>
  <si>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</si>
  <si>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</si>
  <si>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</si>
  <si>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</si>
  <si>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</si>
  <si>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</si>
  <si>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</si>
  <si>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</si>
  <si>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</si>
  <si>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</si>
  <si>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</si>
  <si>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</si>
  <si>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</si>
  <si>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</si>
  <si>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</si>
  <si>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</si>
  <si>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</si>
  <si>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</si>
  <si>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</si>
  <si>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</si>
  <si>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</si>
  <si>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</si>
  <si>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</si>
  <si>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</si>
  <si>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</si>
  <si>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</si>
  <si>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</si>
  <si>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</si>
  <si>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</si>
  <si>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</si>
  <si>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</si>
  <si>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</si>
  <si>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</si>
  <si>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</si>
  <si>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</si>
  <si>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</si>
  <si>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</si>
  <si>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</si>
  <si>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</si>
  <si>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</si>
  <si>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</si>
  <si>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</si>
  <si>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</si>
  <si>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</si>
  <si>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</si>
  <si>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</si>
  <si>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</si>
  <si>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</si>
  <si>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</si>
  <si>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</si>
  <si>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</si>
  <si>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</si>
  <si>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</si>
  <si>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</si>
  <si>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</si>
  <si>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</si>
  <si>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</si>
  <si>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</si>
  <si>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</si>
  <si>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</si>
  <si>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</si>
  <si>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</si>
  <si>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</si>
  <si>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</si>
  <si>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</si>
  <si>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</si>
  <si>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</si>
  <si>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</si>
  <si>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</si>
  <si>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</si>
  <si>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</si>
  <si>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</si>
  <si>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</si>
  <si>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</si>
  <si>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</si>
  <si>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</si>
  <si>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</si>
  <si>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</si>
  <si>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</si>
  <si>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</si>
  <si>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</si>
  <si>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</si>
  <si>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</si>
  <si>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</si>
  <si>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</si>
  <si>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</si>
  <si>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</si>
  <si>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</si>
  <si>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</si>
  <si>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</si>
  <si>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</si>
  <si>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</si>
  <si>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</si>
  <si>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</si>
  <si>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</si>
  <si>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</si>
  <si>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</si>
  <si>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</si>
  <si>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</si>
  <si>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</si>
  <si>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</si>
  <si>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</si>
  <si>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</si>
  <si>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</si>
  <si>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</si>
  <si>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</si>
  <si>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</si>
  <si>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</si>
  <si>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</si>
  <si>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</si>
  <si>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</si>
  <si>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</si>
  <si>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</si>
  <si>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</si>
  <si>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</si>
  <si>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</si>
  <si>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</si>
  <si>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</si>
  <si>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</si>
  <si>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</si>
  <si>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</si>
  <si>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</si>
  <si>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</si>
  <si>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</si>
  <si>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</si>
  <si>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</si>
  <si>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</si>
  <si>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</si>
  <si>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</si>
  <si>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</si>
  <si>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</si>
  <si>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</si>
  <si>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</si>
  <si>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</si>
  <si>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</si>
  <si>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</si>
  <si>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</si>
  <si>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</si>
  <si>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</si>
  <si>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</si>
  <si>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</si>
  <si>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</si>
  <si>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</si>
  <si>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</si>
  <si>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</si>
  <si>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</si>
  <si>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</si>
  <si>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</si>
  <si>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</si>
  <si>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</si>
  <si>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</si>
  <si>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</si>
  <si>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</si>
  <si>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</si>
  <si>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</si>
  <si>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</si>
  <si>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</si>
  <si>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</si>
  <si>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</si>
  <si>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</si>
  <si>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</si>
  <si>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</si>
  <si>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</si>
  <si>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</si>
  <si>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</si>
  <si>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</si>
  <si>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</si>
  <si>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</si>
  <si>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</si>
  <si>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</si>
  <si>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</si>
  <si>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</si>
  <si>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</si>
  <si>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</si>
  <si>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</si>
  <si>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</si>
  <si>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</si>
  <si>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</si>
  <si>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</si>
  <si>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</si>
  <si>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</si>
  <si>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</si>
  <si>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</si>
  <si>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</si>
  <si>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</si>
  <si>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</si>
  <si>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</si>
  <si>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</si>
  <si>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</si>
  <si>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</si>
  <si>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</si>
  <si>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</si>
  <si>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</si>
  <si>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</si>
  <si>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</si>
  <si>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</si>
  <si>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</si>
  <si>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</si>
  <si>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</si>
  <si>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</si>
  <si>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</si>
  <si>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</si>
  <si>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</si>
  <si>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</si>
  <si>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</si>
  <si>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</si>
  <si>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</si>
  <si>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</si>
  <si>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</si>
  <si>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</si>
  <si>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</si>
  <si>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</si>
  <si>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</si>
  <si>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</si>
  <si>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</si>
  <si>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</si>
  <si>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</si>
  <si>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</si>
  <si>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</si>
  <si>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</si>
  <si>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</si>
  <si>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</si>
  <si>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</si>
  <si>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</si>
  <si>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</si>
  <si>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</si>
  <si>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</si>
  <si>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</si>
  <si>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</si>
  <si>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</si>
  <si>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</si>
  <si>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</si>
  <si>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</si>
  <si>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</si>
  <si>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</si>
  <si>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</si>
  <si>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</si>
  <si>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</si>
  <si>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</si>
  <si>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</si>
  <si>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</si>
  <si>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</si>
  <si>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</si>
  <si>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</si>
  <si>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</si>
  <si>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</si>
  <si>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</si>
  <si>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</si>
  <si>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</si>
  <si>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</si>
  <si>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</si>
  <si>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</si>
  <si>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</si>
  <si>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</si>
  <si>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</si>
  <si>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</si>
  <si>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</si>
  <si>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</si>
  <si>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</si>
  <si>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</si>
  <si>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</si>
  <si>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</si>
  <si>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</si>
  <si>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</si>
  <si>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</si>
  <si>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</si>
  <si>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</si>
  <si>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</si>
  <si>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</si>
  <si>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</si>
  <si>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</si>
  <si>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</si>
  <si>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</si>
  <si>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</si>
  <si>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</si>
  <si>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</si>
  <si>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</si>
  <si>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</si>
  <si>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</si>
  <si>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</si>
  <si>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</si>
  <si>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</si>
  <si>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</si>
  <si>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</si>
  <si>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</si>
  <si>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</si>
  <si>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</si>
  <si>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</si>
  <si>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</si>
  <si>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</si>
  <si>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</si>
  <si>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</si>
  <si>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</si>
  <si>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</si>
  <si>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</si>
  <si>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</si>
  <si>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</si>
  <si>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</si>
  <si>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</si>
  <si>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</si>
  <si>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</si>
  <si>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</si>
  <si>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</si>
  <si>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</si>
  <si>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</si>
  <si>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</si>
  <si>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</si>
  <si>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</si>
  <si>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</si>
  <si>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</si>
  <si>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</si>
  <si>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</si>
  <si>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</si>
  <si>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</si>
  <si>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</si>
  <si>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</si>
  <si>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</si>
  <si>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</si>
  <si>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</si>
  <si>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</si>
  <si>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</si>
  <si>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</si>
  <si>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</si>
  <si>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</si>
  <si>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</si>
  <si>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</si>
  <si>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</si>
  <si>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</si>
  <si>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</si>
  <si>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</si>
  <si>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</si>
  <si>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</si>
  <si>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</si>
  <si>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</si>
  <si>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</si>
  <si>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</si>
  <si>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</si>
  <si>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</si>
  <si>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</si>
  <si>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</si>
  <si>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</si>
  <si>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</si>
  <si>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</si>
  <si>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</si>
  <si>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</si>
  <si>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</si>
  <si>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</si>
  <si>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</si>
  <si>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</si>
  <si>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</si>
  <si>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</si>
  <si>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</si>
  <si>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</si>
  <si>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</si>
  <si>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</si>
  <si>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</si>
  <si>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</si>
  <si>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</si>
  <si>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</si>
  <si>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</si>
  <si>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</si>
  <si>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</si>
  <si>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</si>
  <si>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</si>
  <si>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</si>
  <si>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</si>
  <si>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</si>
  <si>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</si>
  <si>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</si>
  <si>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</si>
  <si>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</si>
  <si>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</si>
  <si>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</si>
  <si>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</si>
  <si>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</si>
  <si>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</si>
  <si>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</si>
  <si>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</si>
  <si>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</si>
  <si>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</si>
  <si>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</si>
  <si>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</si>
  <si>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</si>
  <si>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</si>
  <si>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</si>
  <si>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</si>
  <si>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</si>
  <si>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</si>
  <si>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</si>
  <si>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</si>
  <si>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</si>
  <si>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</si>
  <si>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</si>
  <si>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</si>
  <si>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</si>
  <si>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</si>
  <si>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</si>
  <si>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</si>
  <si>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</si>
  <si>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</si>
  <si>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</si>
  <si>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</si>
  <si>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</si>
  <si>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</si>
  <si>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</si>
  <si>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</si>
  <si>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</si>
  <si>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</si>
  <si>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</si>
  <si>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</si>
  <si>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</si>
  <si>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</si>
  <si>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</si>
  <si>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</si>
  <si>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</si>
  <si>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</si>
  <si>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</si>
  <si>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</si>
  <si>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</si>
  <si>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</si>
  <si>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</si>
  <si>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</si>
  <si>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</si>
  <si>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</si>
  <si>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</si>
  <si>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</si>
  <si>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</si>
  <si>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</si>
  <si>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</si>
  <si>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</si>
  <si>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</si>
  <si>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</si>
  <si>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</si>
  <si>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</si>
  <si>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</si>
  <si>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</si>
  <si>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</si>
  <si>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</si>
  <si>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</si>
  <si>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</si>
  <si>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</si>
  <si>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</si>
  <si>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</si>
  <si>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</si>
  <si>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</si>
  <si>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</si>
  <si>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</si>
  <si>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</si>
  <si>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</si>
  <si>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</si>
  <si>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</si>
  <si>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</si>
  <si>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</si>
  <si>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</si>
  <si>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</si>
  <si>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</si>
  <si>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</si>
  <si>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</si>
  <si>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</si>
  <si>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</si>
  <si>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</si>
  <si>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</si>
  <si>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</si>
  <si>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</si>
  <si>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</si>
  <si>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</si>
  <si>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</si>
  <si>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</si>
  <si>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</si>
  <si>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</si>
  <si>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</si>
  <si>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</si>
  <si>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</si>
  <si>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</si>
  <si>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</si>
  <si>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</si>
  <si>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</si>
  <si>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</si>
  <si>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</si>
  <si>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</si>
  <si>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</si>
  <si>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</si>
  <si>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</si>
  <si>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</si>
  <si>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</si>
  <si>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</si>
  <si>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</si>
  <si>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</si>
  <si>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</si>
  <si>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</si>
  <si>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</si>
  <si>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</si>
  <si>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</si>
  <si>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</si>
  <si>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</si>
  <si>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</si>
  <si>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</si>
  <si>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</si>
  <si>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</si>
  <si>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</si>
  <si>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</si>
  <si>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</si>
  <si>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</si>
  <si>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</si>
  <si>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</si>
  <si>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</si>
  <si>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</si>
  <si>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</si>
  <si>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</si>
  <si>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</si>
  <si>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</si>
  <si>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</si>
  <si>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</si>
  <si>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</si>
  <si>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</si>
  <si>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</si>
  <si>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</si>
  <si>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</si>
  <si>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</si>
  <si>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</si>
  <si>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</si>
  <si>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</si>
  <si>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</si>
  <si>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</si>
  <si>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</si>
  <si>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</si>
  <si>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</si>
  <si>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</si>
  <si>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</si>
  <si>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</si>
  <si>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</si>
  <si>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</si>
  <si>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</si>
  <si>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</si>
  <si>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</si>
  <si>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</si>
  <si>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</si>
  <si>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</si>
  <si>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</si>
  <si>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</si>
  <si>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</si>
  <si>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</si>
  <si>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</si>
  <si>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</si>
  <si>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</si>
  <si>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</si>
  <si>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</si>
  <si>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</si>
  <si>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</si>
  <si>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</si>
  <si>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</si>
  <si>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</si>
  <si>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</si>
  <si>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</si>
  <si>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</si>
  <si>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</si>
  <si>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</si>
  <si>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</si>
  <si>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</si>
  <si>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</si>
  <si>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</si>
  <si>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</si>
  <si>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</si>
  <si>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</si>
  <si>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</si>
  <si>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</si>
  <si>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</si>
  <si>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</si>
  <si>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</si>
  <si>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</si>
  <si>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</si>
  <si>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</si>
  <si>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</si>
  <si>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</si>
  <si>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</si>
  <si>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</si>
  <si>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</si>
  <si>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</si>
  <si>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</si>
  <si>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</si>
  <si>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</si>
  <si>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</si>
  <si>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</si>
  <si>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</si>
  <si>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</si>
  <si>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</si>
  <si>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</si>
  <si>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</si>
  <si>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</si>
  <si>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</si>
  <si>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</si>
  <si>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</si>
  <si>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</si>
  <si>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</si>
  <si>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</si>
  <si>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</si>
  <si>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</si>
  <si>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</si>
  <si>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</si>
  <si>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</si>
  <si>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</si>
  <si>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</si>
  <si>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</si>
  <si>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</si>
  <si>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</si>
  <si>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</si>
  <si>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</si>
  <si>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</si>
  <si>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</si>
  <si>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</si>
  <si>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</si>
  <si>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</si>
  <si>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</si>
  <si>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</si>
  <si>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</si>
  <si>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</si>
  <si>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</si>
  <si>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</si>
  <si>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</si>
  <si>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</si>
  <si>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</si>
  <si>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</si>
  <si>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</si>
  <si>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</si>
  <si>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</si>
  <si>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</si>
  <si>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</si>
  <si>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</si>
  <si>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</si>
  <si>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</si>
  <si>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</si>
  <si>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</si>
  <si>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</si>
  <si>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</si>
  <si>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</si>
  <si>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</si>
  <si>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</si>
  <si>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</si>
  <si>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</si>
  <si>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</si>
  <si>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</si>
  <si>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</si>
  <si>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</si>
  <si>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</si>
  <si>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</si>
  <si>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</si>
  <si>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</si>
  <si>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</si>
  <si>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</si>
  <si>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</si>
  <si>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</si>
  <si>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</si>
  <si>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</si>
  <si>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</si>
  <si>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</si>
  <si>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</si>
  <si>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</si>
  <si>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</si>
  <si>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</si>
  <si>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</si>
  <si>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</si>
  <si>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</si>
  <si>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</si>
  <si>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</si>
  <si>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</si>
  <si>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</si>
  <si>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</si>
  <si>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</si>
  <si>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</si>
  <si>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</si>
  <si>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</si>
  <si>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</si>
  <si>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</si>
  <si>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</si>
  <si>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</si>
  <si>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</si>
  <si>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</si>
  <si>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</si>
  <si>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</si>
  <si>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</si>
  <si>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</si>
  <si>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</si>
  <si>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</si>
  <si>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</si>
  <si>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</si>
  <si>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</si>
  <si>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</si>
  <si>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</si>
  <si>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</si>
  <si>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</si>
  <si>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</si>
  <si>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</si>
  <si>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</si>
  <si>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</si>
  <si>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</si>
  <si>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</si>
  <si>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</si>
  <si>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</si>
  <si>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</si>
  <si>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</si>
  <si>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</si>
  <si>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</si>
  <si>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</si>
  <si>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</si>
  <si>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</si>
  <si>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</si>
  <si>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</si>
  <si>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</si>
  <si>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</si>
  <si>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</si>
  <si>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</si>
  <si>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</si>
  <si>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</si>
  <si>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</si>
  <si>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</si>
  <si>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</si>
  <si>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</si>
  <si>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</si>
  <si>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</si>
  <si>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</si>
  <si>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</si>
  <si>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</si>
  <si>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</si>
  <si>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</si>
  <si>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</si>
  <si>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</si>
  <si>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</si>
  <si>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</si>
  <si>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</si>
  <si>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</si>
  <si>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</si>
  <si>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</si>
  <si>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</si>
  <si>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</si>
  <si>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</si>
  <si>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</si>
  <si>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</si>
  <si>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</si>
  <si>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</si>
  <si>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</si>
  <si>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</si>
  <si>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</si>
  <si>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</si>
  <si>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</si>
  <si>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</si>
  <si>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</si>
  <si>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</si>
  <si>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</si>
  <si>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</si>
  <si>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</si>
  <si>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</si>
  <si>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</si>
  <si>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</si>
  <si>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</si>
  <si>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</si>
  <si>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</si>
  <si>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</si>
  <si>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</si>
  <si>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</si>
  <si>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</si>
  <si>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</si>
  <si>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</si>
  <si>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</si>
  <si>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</si>
  <si>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</si>
  <si>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</si>
  <si>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</si>
  <si>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</si>
  <si>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</si>
  <si>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</si>
  <si>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</si>
  <si>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</si>
  <si>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</si>
  <si>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</si>
  <si>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</si>
  <si>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</si>
  <si>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</si>
  <si>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</si>
  <si>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</si>
  <si>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</si>
  <si>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</si>
  <si>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</si>
  <si>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</si>
  <si>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</si>
  <si>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</si>
  <si>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</si>
  <si>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</si>
  <si>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</si>
  <si>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</si>
  <si>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</si>
  <si>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</si>
  <si>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</si>
  <si>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</si>
  <si>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</si>
  <si>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</si>
  <si>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</si>
  <si>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</si>
  <si>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</si>
  <si>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</si>
  <si>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</si>
  <si>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</si>
  <si>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</si>
  <si>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</si>
  <si>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</si>
  <si>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</si>
  <si>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</si>
  <si>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</si>
  <si>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</si>
  <si>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</si>
  <si>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</si>
  <si>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</si>
  <si>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</si>
  <si>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</si>
  <si>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</si>
  <si>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</si>
  <si>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</si>
  <si>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</si>
  <si>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</si>
  <si>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</si>
  <si>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</si>
  <si>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</si>
  <si>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</si>
  <si>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</si>
  <si>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</si>
  <si>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</si>
  <si>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</si>
  <si>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</si>
  <si>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</si>
  <si>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</si>
  <si>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</si>
  <si>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</si>
  <si>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</si>
  <si>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</si>
  <si>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</si>
  <si>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</si>
  <si>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</si>
  <si>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</si>
  <si>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</si>
  <si>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</si>
  <si>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</si>
  <si>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</si>
  <si>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</si>
  <si>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</si>
  <si>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</si>
  <si>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</si>
  <si>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</si>
  <si>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</si>
  <si>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</si>
  <si>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</si>
  <si>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</si>
  <si>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</si>
  <si>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</si>
  <si>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</si>
  <si>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</si>
  <si>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</si>
  <si>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</si>
  <si>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</si>
  <si>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</si>
  <si>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</si>
  <si>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</si>
  <si>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</si>
  <si>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</si>
  <si>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</si>
  <si>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</si>
  <si>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</si>
  <si>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</si>
  <si>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</si>
  <si>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</si>
  <si>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</si>
  <si>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</si>
  <si>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</si>
  <si>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</si>
  <si>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</si>
  <si>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</si>
  <si>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</si>
  <si>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</si>
  <si>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</si>
  <si>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</si>
  <si>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</si>
  <si>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</si>
  <si>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</si>
  <si>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</si>
  <si>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</si>
  <si>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</si>
  <si>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</si>
  <si>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</si>
  <si>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</si>
  <si>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</si>
  <si>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</si>
  <si>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</si>
  <si>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</si>
  <si>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</si>
  <si>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</si>
  <si>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</si>
  <si>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</si>
  <si>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</si>
  <si>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</si>
  <si>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</si>
  <si>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</si>
  <si>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</si>
  <si>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</si>
  <si>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</si>
  <si>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</si>
  <si>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</si>
  <si>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</si>
  <si>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</si>
  <si>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</si>
  <si>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</si>
  <si>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</si>
  <si>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</si>
  <si>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</si>
  <si>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</si>
  <si>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</si>
  <si>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</si>
  <si>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</si>
  <si>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</si>
  <si>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</si>
  <si>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</si>
  <si>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</si>
  <si>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</si>
  <si>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</si>
  <si>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</si>
  <si>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</si>
  <si>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</si>
  <si>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</si>
  <si>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</si>
  <si>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</si>
  <si>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</si>
  <si>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</si>
  <si>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</si>
  <si>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</si>
  <si>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</si>
  <si>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</si>
  <si>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</si>
  <si>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</si>
  <si>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</si>
  <si>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</si>
  <si>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</si>
  <si>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</si>
  <si>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</si>
  <si>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</si>
  <si>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</si>
  <si>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</si>
  <si>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</si>
  <si>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</si>
  <si>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</si>
  <si>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</si>
  <si>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</si>
  <si>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</si>
  <si>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</si>
  <si>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</si>
  <si>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</si>
  <si>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</si>
  <si>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</si>
  <si>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</si>
  <si>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</si>
  <si>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</si>
  <si>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</si>
  <si>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</si>
  <si>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</si>
  <si>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</si>
  <si>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</si>
  <si>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</si>
  <si>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</si>
  <si>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</si>
  <si>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</si>
  <si>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</si>
  <si>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</si>
  <si>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</si>
  <si>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</si>
  <si>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</si>
  <si>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</si>
  <si>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</si>
  <si>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</si>
  <si>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</si>
  <si>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</si>
  <si>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</si>
  <si>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</si>
  <si>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</si>
  <si>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</si>
  <si>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</si>
  <si>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</si>
  <si>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</si>
  <si>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</si>
  <si>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</si>
  <si>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</si>
  <si>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</si>
  <si>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</si>
  <si>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</si>
  <si>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</si>
  <si>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</si>
  <si>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</si>
  <si>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</si>
  <si>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</si>
  <si>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</si>
  <si>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</si>
  <si>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</si>
  <si>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</si>
  <si>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</si>
  <si>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</si>
  <si>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</si>
  <si>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</si>
  <si>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</si>
  <si>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</si>
  <si>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</si>
  <si>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</si>
  <si>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</si>
  <si>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</si>
  <si>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</si>
  <si>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</si>
  <si>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</si>
  <si>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</si>
  <si>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</si>
  <si>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</si>
  <si>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</si>
  <si>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</si>
  <si>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</si>
  <si>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</si>
  <si>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</si>
  <si>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</si>
  <si>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</si>
  <si>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</si>
  <si>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</si>
  <si>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</si>
  <si>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</si>
  <si>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</si>
  <si>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</si>
  <si>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</si>
  <si>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</si>
  <si>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</si>
  <si>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</si>
  <si>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</si>
  <si>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</si>
  <si>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</si>
  <si>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</si>
  <si>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</si>
  <si>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</si>
  <si>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</si>
  <si>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</si>
  <si>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</si>
  <si>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</si>
  <si>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</si>
  <si>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</si>
  <si>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</si>
  <si>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</si>
  <si>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</si>
  <si>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</si>
  <si>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</si>
  <si>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</si>
  <si>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</si>
  <si>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</si>
  <si>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</si>
  <si>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</si>
  <si>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</si>
  <si>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</si>
  <si>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</si>
  <si>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</si>
  <si>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</si>
  <si>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</si>
  <si>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</si>
  <si>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</si>
  <si>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</si>
  <si>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</si>
  <si>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</si>
  <si>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</si>
  <si>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</si>
  <si>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</si>
  <si>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</si>
  <si>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</si>
  <si>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</si>
  <si>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</si>
  <si>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</si>
  <si>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</si>
  <si>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</si>
  <si>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</si>
  <si>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</si>
  <si>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</si>
  <si>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</si>
  <si>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</si>
  <si>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</si>
  <si>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</si>
  <si>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</si>
  <si>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</si>
  <si>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</si>
  <si>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</si>
  <si>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</si>
  <si>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</si>
  <si>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</si>
  <si>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</si>
  <si>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</si>
  <si>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</si>
  <si>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</si>
  <si>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</si>
  <si>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</si>
  <si>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</si>
  <si>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</si>
  <si>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</si>
  <si>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</si>
  <si>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</si>
  <si>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</si>
  <si>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</si>
  <si>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</si>
  <si>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</si>
  <si>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</si>
  <si>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</si>
  <si>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</si>
  <si>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</si>
  <si>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</si>
  <si>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</si>
  <si>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</si>
  <si>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</si>
  <si>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</si>
  <si>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</si>
  <si>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</si>
  <si>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</si>
  <si>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</si>
  <si>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</si>
  <si>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</si>
  <si>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</si>
  <si>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</si>
  <si>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</si>
  <si>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</si>
  <si>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</si>
  <si>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</si>
  <si>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</si>
  <si>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</si>
  <si>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</si>
  <si>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</si>
  <si>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</si>
  <si>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</si>
  <si>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</si>
  <si>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</si>
  <si>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</si>
  <si>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</si>
  <si>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</si>
  <si>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</si>
  <si>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</si>
  <si>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</si>
  <si>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</si>
  <si>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</si>
  <si>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</si>
  <si>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</si>
  <si>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</si>
  <si>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</si>
  <si>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</si>
  <si>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</si>
  <si>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</si>
  <si>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</si>
  <si>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</si>
  <si>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</si>
  <si>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</si>
  <si>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</si>
  <si>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</si>
  <si>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</si>
  <si>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</si>
  <si>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</si>
  <si>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</si>
  <si>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</si>
  <si>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</si>
  <si>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</si>
  <si>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</si>
  <si>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</si>
  <si>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</si>
  <si>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</si>
  <si>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</si>
  <si>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</si>
  <si>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</si>
  <si>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</si>
  <si>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</si>
  <si>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</si>
  <si>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</si>
  <si>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</si>
  <si>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</si>
  <si>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</si>
  <si>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</si>
  <si>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</si>
  <si>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</si>
  <si>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</si>
  <si>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</si>
  <si>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</si>
  <si>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</si>
  <si>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</si>
  <si>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</si>
  <si>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</si>
  <si>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</si>
  <si>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</si>
  <si>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</si>
  <si>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</si>
  <si>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</si>
  <si>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</si>
  <si>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</si>
  <si>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</si>
  <si>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</si>
  <si>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</si>
  <si>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</si>
  <si>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</si>
  <si>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</si>
  <si>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</si>
  <si>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</si>
  <si>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</si>
  <si>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</si>
  <si>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</si>
  <si>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</si>
  <si>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</si>
  <si>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</si>
  <si>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</si>
  <si>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</si>
  <si>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</si>
  <si>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</si>
  <si>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</si>
  <si>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</si>
  <si>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</si>
  <si>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</si>
  <si>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</si>
  <si>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</si>
  <si>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</si>
  <si>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</si>
  <si>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</si>
  <si>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</si>
  <si>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</si>
  <si>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</si>
  <si>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</si>
  <si>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</si>
  <si>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</si>
  <si>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</si>
  <si>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</si>
  <si>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</si>
  <si>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</si>
  <si>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</si>
  <si>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</si>
  <si>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</si>
  <si>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</si>
  <si>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</si>
  <si>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</si>
  <si>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</si>
  <si>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</si>
  <si>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</si>
  <si>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</si>
  <si>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</si>
  <si>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</si>
  <si>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</si>
  <si>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</si>
  <si>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</si>
  <si>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</si>
  <si>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</si>
  <si>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</si>
  <si>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</si>
  <si>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</si>
  <si>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</si>
  <si>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</si>
  <si>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</si>
  <si>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</si>
  <si>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</si>
  <si>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</si>
  <si>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</si>
  <si>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</si>
  <si>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</si>
  <si>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</si>
  <si>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</si>
  <si>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</si>
  <si>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</si>
  <si>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</si>
  <si>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</si>
  <si>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</si>
  <si>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</si>
  <si>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</si>
  <si>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</si>
  <si>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</si>
  <si>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</si>
  <si>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</si>
  <si>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</si>
  <si>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</si>
  <si>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</si>
  <si>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</si>
  <si>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</si>
  <si>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</si>
  <si>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</si>
  <si>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</si>
  <si>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</si>
  <si>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</si>
  <si>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</si>
  <si>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</si>
  <si>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</si>
  <si>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</si>
  <si>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</si>
  <si>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</si>
  <si>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</si>
  <si>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</si>
  <si>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</si>
  <si>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</si>
  <si>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</si>
  <si>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</si>
  <si>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</si>
  <si>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</si>
  <si>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</si>
  <si>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</si>
  <si>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</si>
  <si>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</si>
  <si>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</si>
  <si>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</si>
  <si>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</si>
  <si>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</si>
  <si>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</si>
  <si>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</si>
  <si>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</si>
  <si>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</si>
  <si>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</si>
  <si>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</si>
  <si>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</si>
  <si>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</si>
  <si>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</si>
  <si>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</si>
  <si>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</si>
  <si>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</si>
  <si>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</si>
  <si>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</si>
  <si>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</si>
  <si>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</si>
  <si>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</si>
  <si>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</si>
  <si>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</si>
  <si>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</si>
  <si>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</si>
  <si>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</si>
  <si>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</si>
  <si>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</si>
  <si>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</si>
  <si>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</si>
  <si>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</si>
  <si>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</si>
  <si>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</si>
  <si>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</si>
  <si>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</si>
  <si>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</si>
  <si>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</si>
  <si>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</si>
  <si>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</si>
  <si>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</si>
  <si>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</si>
  <si>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</si>
  <si>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</si>
  <si>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</si>
  <si>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</si>
  <si>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</si>
  <si>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</si>
  <si>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</si>
  <si>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</si>
  <si>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</si>
  <si>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</si>
  <si>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</si>
  <si>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</si>
  <si>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</si>
  <si>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</si>
  <si>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</si>
  <si>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</si>
  <si>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</si>
  <si>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</si>
  <si>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</si>
  <si>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</si>
  <si>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</si>
  <si>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</si>
  <si>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</si>
  <si>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</si>
  <si>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</si>
  <si>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</si>
  <si>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</si>
  <si>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</si>
  <si>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</si>
  <si>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</si>
  <si>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</si>
  <si>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</si>
  <si>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</si>
  <si>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</si>
  <si>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</si>
  <si>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</si>
  <si>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</si>
  <si>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</si>
  <si>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</si>
  <si>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</si>
  <si>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</si>
  <si>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</si>
  <si>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</si>
  <si>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</si>
  <si>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</si>
  <si>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</si>
  <si>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</si>
  <si>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</si>
  <si>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</si>
  <si>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</si>
  <si>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</si>
  <si>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</si>
  <si>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</si>
  <si>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</si>
  <si>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</si>
  <si>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</si>
  <si>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</si>
  <si>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</si>
  <si>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</si>
  <si>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</si>
  <si>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</si>
  <si>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</si>
  <si>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</si>
  <si>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</si>
  <si>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</si>
  <si>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</si>
  <si>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</si>
  <si>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</si>
  <si>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</si>
  <si>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</si>
  <si>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</si>
  <si>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</si>
  <si>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</si>
  <si>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</si>
  <si>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</si>
  <si>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</si>
  <si>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</si>
  <si>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</si>
  <si>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</si>
  <si>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</si>
  <si>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</si>
  <si>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</si>
  <si>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</si>
  <si>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</si>
  <si>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</si>
  <si>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</si>
  <si>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</si>
  <si>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</si>
  <si>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</si>
  <si>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</si>
  <si>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</si>
  <si>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</si>
  <si>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</si>
  <si>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</si>
  <si>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</si>
  <si>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</si>
  <si>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</si>
  <si>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</si>
  <si>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</si>
  <si>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</si>
  <si>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</si>
  <si>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</si>
  <si>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</si>
  <si>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</si>
  <si>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</si>
  <si>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</si>
  <si>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</si>
  <si>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</si>
  <si>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</si>
  <si>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</si>
  <si>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</si>
  <si>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</si>
  <si>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</si>
  <si>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</si>
  <si>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</si>
  <si>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</si>
  <si>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</si>
  <si>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</si>
  <si>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</si>
  <si>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</si>
  <si>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</si>
  <si>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</si>
  <si>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</si>
  <si>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</si>
  <si>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</si>
  <si>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</si>
  <si>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</si>
  <si>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</si>
  <si>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</si>
  <si>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</si>
  <si>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</si>
  <si>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</si>
  <si>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</si>
  <si>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</si>
  <si>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</si>
  <si>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</si>
  <si>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</si>
  <si>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</si>
  <si>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</si>
  <si>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</si>
  <si>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</si>
  <si>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</si>
  <si>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</si>
  <si>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</si>
  <si>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</si>
  <si>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</si>
  <si>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</si>
  <si>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</si>
  <si>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</si>
  <si>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</si>
  <si>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</si>
  <si>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</si>
  <si>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</si>
  <si>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</si>
  <si>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</si>
  <si>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</si>
  <si>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</si>
  <si>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</si>
  <si>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</si>
  <si>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</si>
  <si>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</si>
  <si>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</si>
  <si>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</si>
  <si>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</si>
  <si>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</si>
  <si>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</si>
  <si>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</si>
  <si>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</si>
  <si>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</si>
  <si>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</si>
  <si>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</si>
  <si>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</si>
  <si>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</si>
  <si>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</si>
  <si>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</si>
  <si>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</si>
  <si>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</si>
  <si>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</si>
  <si>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</si>
  <si>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</si>
  <si>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</si>
  <si>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</si>
  <si>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</si>
  <si>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</si>
  <si>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</si>
  <si>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</si>
  <si>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</si>
  <si>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</si>
  <si>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</si>
  <si>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</si>
  <si>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</si>
  <si>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</si>
  <si>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</si>
  <si>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</si>
  <si>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</si>
  <si>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</si>
  <si>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</si>
  <si>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</si>
  <si>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</si>
  <si>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</si>
  <si>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</si>
  <si>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</si>
  <si>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</si>
  <si>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</si>
  <si>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</si>
  <si>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</si>
  <si>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</si>
  <si>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</si>
  <si>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</si>
  <si>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</si>
  <si>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</si>
  <si>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</si>
  <si>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</si>
  <si>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</si>
  <si>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</si>
  <si>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</si>
  <si>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</si>
  <si>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</si>
  <si>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</si>
  <si>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</si>
  <si>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</si>
  <si>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</si>
  <si>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</si>
  <si>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</si>
  <si>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</si>
  <si>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</si>
  <si>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</si>
  <si>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</si>
  <si>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</si>
  <si>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</si>
  <si>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</si>
  <si>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</si>
  <si>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</si>
  <si>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</si>
  <si>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</si>
  <si>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</si>
  <si>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</si>
  <si>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</si>
  <si>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</si>
  <si>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</si>
  <si>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</si>
  <si>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</si>
  <si>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</si>
  <si>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</si>
  <si>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</si>
  <si>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</si>
  <si>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</si>
  <si>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</si>
  <si>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</si>
  <si>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</si>
  <si>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</si>
  <si>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</si>
  <si>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</si>
  <si>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</si>
  <si>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</si>
  <si>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</si>
  <si>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</si>
  <si>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</si>
  <si>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</si>
  <si>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</si>
  <si>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</si>
  <si>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</si>
  <si>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</si>
  <si>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</si>
  <si>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</si>
  <si>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</si>
  <si>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</si>
  <si>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</si>
  <si>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</si>
  <si>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</si>
  <si>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</si>
  <si>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</si>
  <si>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</si>
  <si>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</si>
  <si>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</si>
  <si>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</si>
  <si>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</si>
  <si>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</si>
  <si>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</si>
  <si>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</si>
  <si>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</si>
  <si>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</si>
  <si>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</si>
  <si>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</si>
  <si>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</si>
  <si>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</si>
  <si>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</si>
  <si>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</si>
  <si>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</si>
  <si>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</si>
  <si>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</si>
  <si>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</si>
  <si>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</si>
  <si>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</si>
  <si>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</si>
  <si>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</si>
  <si>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</si>
  <si>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</si>
  <si>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</si>
  <si>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</si>
  <si>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</si>
  <si>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</si>
  <si>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</si>
  <si>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</si>
  <si>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</si>
  <si>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</si>
  <si>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</si>
  <si>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</si>
  <si>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</si>
  <si>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</si>
  <si>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</si>
  <si>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</si>
  <si>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</si>
  <si>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</si>
  <si>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</si>
  <si>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</si>
  <si>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</si>
  <si>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</si>
  <si>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</si>
  <si>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</si>
  <si>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</si>
  <si>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</si>
  <si>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</si>
  <si>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</si>
  <si>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</si>
  <si>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</si>
  <si>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</si>
  <si>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</si>
  <si>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</si>
  <si>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</si>
  <si>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</si>
  <si>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</si>
  <si>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</si>
  <si>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</si>
  <si>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</si>
  <si>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</si>
  <si>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</si>
  <si>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</si>
  <si>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</si>
  <si>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</si>
  <si>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</si>
  <si>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</si>
  <si>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</si>
  <si>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</si>
  <si>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</si>
  <si>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</si>
  <si>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</si>
  <si>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</si>
  <si>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</si>
  <si>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</si>
  <si>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</si>
  <si>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</si>
  <si>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</si>
  <si>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</si>
  <si>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</si>
  <si>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</si>
  <si>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</si>
  <si>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</si>
  <si>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</si>
  <si>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</si>
  <si>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</si>
  <si>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</si>
  <si>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</si>
  <si>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</si>
  <si>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</si>
  <si>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</si>
  <si>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</si>
  <si>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</si>
  <si>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</si>
  <si>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</si>
  <si>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</si>
  <si>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</si>
  <si>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</si>
  <si>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</si>
  <si>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</si>
  <si>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</si>
  <si>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</si>
  <si>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</si>
  <si>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</si>
  <si>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</si>
  <si>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</si>
  <si>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</si>
  <si>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</si>
  <si>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</si>
  <si>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</si>
  <si>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</si>
  <si>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</si>
  <si>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</si>
  <si>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</si>
  <si>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</si>
  <si>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</si>
  <si>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</si>
  <si>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</si>
  <si>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</si>
  <si>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</si>
  <si>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</si>
  <si>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</si>
  <si>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</si>
  <si>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</si>
  <si>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</si>
  <si>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</si>
  <si>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</si>
  <si>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</si>
  <si>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</si>
  <si>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</si>
  <si>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</si>
  <si>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</si>
  <si>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</si>
  <si>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</si>
  <si>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</si>
  <si>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</si>
  <si>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</si>
  <si>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</si>
  <si>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</si>
  <si>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</si>
  <si>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</si>
  <si>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</si>
  <si>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</si>
  <si>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</si>
  <si>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</si>
  <si>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</si>
  <si>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</si>
  <si>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</si>
  <si>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</si>
  <si>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</si>
  <si>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</si>
  <si>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</si>
  <si>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</si>
  <si>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</si>
  <si>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</si>
  <si>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</si>
  <si>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</si>
  <si>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</si>
  <si>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</si>
  <si>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</si>
  <si>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</si>
  <si>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</si>
  <si>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</si>
  <si>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</si>
  <si>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</si>
  <si>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</si>
  <si>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</si>
  <si>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</si>
  <si>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</si>
  <si>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</si>
  <si>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</si>
  <si>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</si>
  <si>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</si>
  <si>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</si>
  <si>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</si>
  <si>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</si>
  <si>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</si>
  <si>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</si>
  <si>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</si>
  <si>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</si>
  <si>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</si>
  <si>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</si>
  <si>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</si>
  <si>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</si>
  <si>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</si>
  <si>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</si>
  <si>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</si>
  <si>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</si>
  <si>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</si>
  <si>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</si>
  <si>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</si>
  <si>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</si>
  <si>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</si>
  <si>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</si>
  <si>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</si>
  <si>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</si>
  <si>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</si>
  <si>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</si>
  <si>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</si>
  <si>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</si>
  <si>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</si>
  <si>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</si>
  <si>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</si>
  <si>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</si>
  <si>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</si>
  <si>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</si>
  <si>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</si>
  <si>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</si>
  <si>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</si>
  <si>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</si>
  <si>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</si>
  <si>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</si>
  <si>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</si>
  <si>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</si>
  <si>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</si>
  <si>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</si>
  <si>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</si>
  <si>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</si>
  <si>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</si>
  <si>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</si>
  <si>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</si>
  <si>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</si>
  <si>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</si>
  <si>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</si>
  <si>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</si>
  <si>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</si>
  <si>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</si>
  <si>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</si>
  <si>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</si>
  <si>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</si>
  <si>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</si>
  <si>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</si>
  <si>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</si>
  <si>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</si>
  <si>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</si>
  <si>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</si>
  <si>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</si>
  <si>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</si>
  <si>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</si>
  <si>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</si>
  <si>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</si>
  <si>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</si>
  <si>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</si>
  <si>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</si>
  <si>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</si>
  <si>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</si>
  <si>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</si>
  <si>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</si>
  <si>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</si>
  <si>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</si>
  <si>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</si>
  <si>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</si>
  <si>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</si>
  <si>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</si>
  <si>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</si>
  <si>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</si>
  <si>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</si>
  <si>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</si>
  <si>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</si>
  <si>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</si>
  <si>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</si>
  <si>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</si>
  <si>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</si>
  <si>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</si>
  <si>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</si>
  <si>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</si>
  <si>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</si>
  <si>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</si>
  <si>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</si>
  <si>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</si>
  <si>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</si>
  <si>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</si>
  <si>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</si>
  <si>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</si>
  <si>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</si>
  <si>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</si>
  <si>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</si>
  <si>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</si>
  <si>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</si>
  <si>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</si>
  <si>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</si>
  <si>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</si>
  <si>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</si>
  <si>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</si>
  <si>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</si>
  <si>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</si>
  <si>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</si>
  <si>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</si>
  <si>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</si>
  <si>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</si>
  <si>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</si>
  <si>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</si>
  <si>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</si>
  <si>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</si>
  <si>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</si>
  <si>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</si>
  <si>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</si>
  <si>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</si>
  <si>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</si>
  <si>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</si>
  <si>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</si>
  <si>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</si>
  <si>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</si>
  <si>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</si>
  <si>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</si>
  <si>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</si>
  <si>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</si>
  <si>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</si>
  <si>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</si>
  <si>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</si>
  <si>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</si>
  <si>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</si>
  <si>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</si>
  <si>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</si>
  <si>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</si>
  <si>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</si>
  <si>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</si>
  <si>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</si>
  <si>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</si>
  <si>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</si>
  <si>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</si>
  <si>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</si>
  <si>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</si>
  <si>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</si>
  <si>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</si>
  <si>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</si>
  <si>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</si>
  <si>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</si>
  <si>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</si>
  <si>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</si>
  <si>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</si>
  <si>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</si>
  <si>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</si>
  <si>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</si>
  <si>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</si>
  <si>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</si>
  <si>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</si>
  <si>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</si>
  <si>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</si>
  <si>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</si>
  <si>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</si>
  <si>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</si>
  <si>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</si>
  <si>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</si>
  <si>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</si>
  <si>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</si>
  <si>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</si>
  <si>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</si>
  <si>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</si>
  <si>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</si>
  <si>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</si>
  <si>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</si>
  <si>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</si>
  <si>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</si>
  <si>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</si>
  <si>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</si>
  <si>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</si>
  <si>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</si>
  <si>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</si>
  <si>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</si>
  <si>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</si>
  <si>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</si>
  <si>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</si>
  <si>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</si>
  <si>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</si>
  <si>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</si>
  <si>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</si>
  <si>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</si>
  <si>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</si>
  <si>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</si>
  <si>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</si>
  <si>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</si>
  <si>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</si>
  <si>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</si>
  <si>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</si>
  <si>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</si>
  <si>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</si>
  <si>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</si>
  <si>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</si>
  <si>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</si>
  <si>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</si>
  <si>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</si>
  <si>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</si>
  <si>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</si>
  <si>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</si>
  <si>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</si>
  <si>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</si>
  <si>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</si>
  <si>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</si>
  <si>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</si>
  <si>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</si>
  <si>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</si>
  <si>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</si>
  <si>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</si>
  <si>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</si>
  <si>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</si>
  <si>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</si>
  <si>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</si>
  <si>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</si>
  <si>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</si>
  <si>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</si>
  <si>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</si>
  <si>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</si>
  <si>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</si>
  <si>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</si>
  <si>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</si>
  <si>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</si>
  <si>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</si>
  <si>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</si>
  <si>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</si>
  <si>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</si>
  <si>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</si>
  <si>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</si>
  <si>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</si>
  <si>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</si>
  <si>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</si>
  <si>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</si>
  <si>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</si>
  <si>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</si>
  <si>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</si>
  <si>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</si>
  <si>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</si>
  <si>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</si>
  <si>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</si>
  <si>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</si>
  <si>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</si>
  <si>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</si>
  <si>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</si>
  <si>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</si>
  <si>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</si>
  <si>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</si>
  <si>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</si>
  <si>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</si>
  <si>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</si>
  <si>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</si>
  <si>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</si>
  <si>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</si>
  <si>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</si>
  <si>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</si>
  <si>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</si>
  <si>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</si>
  <si>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</si>
  <si>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</si>
  <si>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</si>
  <si>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</si>
  <si>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</si>
  <si>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</si>
  <si>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</si>
  <si>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</si>
  <si>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</si>
  <si>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</si>
  <si>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</si>
  <si>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</si>
  <si>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</si>
  <si>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</si>
  <si>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</si>
  <si>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</si>
  <si>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</si>
  <si>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</si>
  <si>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</si>
  <si>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</si>
  <si>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</si>
  <si>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</si>
  <si>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</si>
  <si>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</si>
  <si>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</si>
  <si>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</si>
  <si>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</si>
  <si>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</si>
  <si>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</si>
  <si>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</si>
  <si>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</si>
  <si>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</si>
  <si>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</si>
  <si>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</si>
  <si>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</si>
  <si>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</si>
  <si>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</si>
  <si>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</si>
  <si>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</si>
  <si>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</si>
  <si>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</si>
  <si>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</si>
  <si>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</si>
  <si>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</si>
  <si>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</si>
  <si>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</si>
  <si>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</si>
  <si>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</si>
  <si>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</si>
  <si>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</si>
  <si>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</si>
  <si>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</si>
  <si>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</si>
  <si>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</si>
  <si>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</si>
  <si>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</si>
  <si>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</si>
  <si>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</si>
  <si>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</si>
  <si>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</si>
  <si>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</si>
  <si>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</si>
  <si>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</si>
  <si>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</si>
  <si>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</si>
  <si>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</si>
  <si>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</si>
  <si>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</si>
  <si>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</si>
  <si>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</si>
  <si>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</si>
  <si>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</si>
  <si>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</si>
  <si>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</si>
  <si>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</si>
  <si>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</si>
  <si>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</si>
  <si>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</si>
  <si>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</si>
  <si>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</si>
  <si>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</si>
  <si>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</si>
  <si>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</si>
  <si>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</si>
  <si>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</si>
  <si>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</si>
  <si>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</si>
  <si>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</si>
  <si>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</si>
  <si>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</si>
  <si>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</si>
  <si>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</si>
  <si>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</si>
  <si>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</si>
  <si>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</si>
  <si>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</si>
  <si>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</si>
  <si>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</si>
  <si>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</si>
  <si>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</si>
  <si>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</si>
  <si>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</si>
  <si>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</si>
  <si>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</si>
  <si>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</si>
  <si>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</si>
  <si>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</si>
  <si>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</si>
  <si>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</si>
  <si>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</si>
  <si>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</si>
  <si>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</si>
  <si>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</si>
  <si>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</si>
  <si>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</si>
  <si>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</si>
  <si>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</si>
  <si>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</si>
  <si>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</si>
  <si>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</si>
  <si>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</si>
  <si>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</si>
  <si>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</si>
  <si>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</si>
  <si>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</si>
  <si>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</si>
  <si>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</si>
  <si>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</si>
  <si>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</si>
  <si>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</si>
  <si>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</si>
  <si>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</si>
  <si>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</si>
  <si>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</si>
  <si>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</si>
  <si>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</si>
  <si>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</si>
  <si>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</si>
  <si>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</si>
  <si>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</si>
  <si>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</si>
  <si>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</si>
  <si>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</si>
  <si>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</si>
  <si>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</si>
  <si>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</si>
  <si>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</si>
  <si>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</si>
  <si>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</si>
  <si>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</si>
  <si>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</si>
  <si>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</si>
  <si>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</si>
  <si>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</si>
  <si>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</si>
  <si>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</si>
  <si>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</si>
  <si>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</si>
  <si>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</si>
  <si>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</si>
  <si>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</si>
  <si>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</si>
  <si>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</si>
  <si>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</si>
  <si>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</si>
  <si>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</si>
  <si>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</si>
  <si>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</si>
  <si>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</si>
  <si>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</si>
  <si>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</si>
  <si>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</si>
  <si>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</si>
  <si>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</si>
  <si>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</si>
  <si>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</si>
  <si>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</si>
  <si>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</si>
  <si>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</si>
  <si>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</si>
  <si>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</si>
  <si>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</si>
  <si>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</si>
  <si>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</si>
  <si>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</si>
  <si>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</si>
  <si>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</si>
  <si>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</si>
  <si>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</si>
  <si>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</si>
  <si>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</si>
  <si>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</si>
  <si>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</si>
  <si>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</si>
  <si>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</si>
  <si>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</si>
  <si>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</si>
  <si>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</si>
  <si>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</si>
  <si>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</si>
  <si>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</si>
  <si>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</si>
  <si>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</si>
  <si>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</si>
  <si>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</si>
  <si>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</si>
  <si>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</si>
  <si>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</si>
  <si>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</si>
  <si>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</si>
  <si>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</si>
  <si>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</si>
  <si>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</si>
  <si>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</si>
  <si>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</si>
  <si>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</si>
  <si>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</si>
  <si>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</si>
  <si>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</si>
  <si>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</si>
  <si>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</si>
  <si>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</si>
  <si>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</si>
  <si>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</si>
  <si>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</si>
  <si>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</si>
  <si>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</si>
  <si>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</si>
  <si>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</si>
  <si>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</si>
  <si>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</si>
  <si>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</si>
  <si>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</si>
  <si>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</si>
  <si>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</si>
  <si>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</si>
  <si>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</si>
  <si>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</si>
  <si>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</si>
  <si>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</si>
  <si>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</si>
  <si>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</si>
  <si>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</si>
  <si>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</si>
  <si>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</si>
  <si>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</si>
  <si>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</si>
  <si>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</si>
  <si>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</si>
  <si>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</si>
  <si>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</si>
  <si>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</si>
  <si>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</si>
  <si>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</si>
  <si>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</si>
  <si>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</si>
  <si>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</si>
  <si>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</si>
  <si>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</si>
  <si>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</si>
  <si>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</si>
  <si>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</si>
  <si>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</si>
  <si>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</si>
  <si>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</si>
  <si>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</si>
  <si>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</si>
  <si>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</si>
  <si>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</si>
  <si>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</si>
  <si>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</si>
  <si>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</si>
  <si>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</si>
  <si>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</si>
  <si>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</si>
  <si>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</si>
  <si>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</si>
  <si>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</si>
  <si>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</si>
  <si>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</si>
  <si>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</si>
  <si>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</si>
  <si>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</si>
  <si>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</si>
  <si>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</si>
  <si>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</si>
  <si>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</si>
  <si>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</si>
  <si>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</si>
  <si>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</si>
  <si>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</si>
  <si>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</si>
  <si>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</si>
  <si>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</si>
  <si>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</si>
  <si>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</si>
  <si>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</si>
  <si>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</si>
  <si>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</si>
  <si>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</si>
  <si>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</si>
  <si>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</si>
  <si>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</si>
  <si>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</si>
  <si>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</si>
  <si>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</si>
  <si>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</si>
  <si>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</si>
  <si>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</si>
  <si>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</si>
  <si>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</si>
  <si>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</si>
  <si>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</si>
  <si>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</si>
  <si>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</si>
  <si>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</si>
  <si>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</si>
  <si>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</si>
  <si>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</si>
  <si>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</si>
  <si>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</si>
  <si>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</si>
  <si>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</si>
  <si>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</si>
  <si>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</si>
  <si>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</si>
  <si>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</si>
  <si>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</si>
  <si>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</si>
  <si>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</si>
  <si>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</si>
  <si>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</si>
  <si>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</si>
  <si>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</si>
  <si>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</si>
  <si>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</si>
  <si>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</si>
  <si>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</si>
  <si>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</si>
  <si>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</si>
  <si>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</si>
  <si>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</si>
  <si>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</si>
  <si>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</si>
  <si>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</si>
  <si>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</si>
  <si>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</si>
  <si>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</si>
  <si>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</si>
  <si>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</si>
  <si>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</si>
  <si>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</si>
  <si>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</si>
  <si>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</si>
  <si>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</si>
  <si>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</si>
  <si>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</si>
  <si>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</si>
  <si>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</si>
  <si>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</si>
  <si>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</si>
  <si>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</si>
  <si>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</si>
  <si>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</si>
  <si>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</si>
  <si>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</si>
  <si>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</si>
  <si>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</si>
  <si>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</si>
  <si>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</si>
  <si>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</si>
  <si>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</si>
  <si>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</si>
  <si>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</si>
  <si>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</si>
  <si>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</si>
  <si>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</si>
  <si>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</si>
  <si>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</si>
  <si>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</si>
  <si>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</si>
  <si>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</si>
  <si>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</si>
  <si>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</si>
  <si>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</si>
  <si>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</si>
  <si>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</si>
  <si>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</si>
  <si>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</si>
  <si>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</si>
  <si>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</si>
  <si>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</si>
  <si>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</si>
  <si>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</si>
  <si>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</si>
  <si>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</si>
  <si>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</si>
  <si>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</si>
  <si>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</si>
  <si>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</si>
  <si>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</si>
  <si>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</si>
  <si>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</si>
  <si>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</si>
  <si>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</si>
  <si>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</si>
  <si>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</si>
  <si>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</si>
  <si>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</si>
  <si>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</si>
  <si>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</si>
  <si>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</si>
  <si>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</si>
  <si>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</si>
  <si>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</si>
  <si>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</si>
  <si>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</si>
  <si>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</si>
  <si>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</si>
  <si>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</si>
  <si>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</si>
  <si>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</si>
  <si>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</si>
  <si>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</si>
  <si>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</si>
  <si>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</si>
  <si>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</si>
  <si>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</si>
  <si>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</si>
  <si>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</si>
  <si>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</si>
  <si>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</si>
  <si>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</si>
  <si>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</si>
  <si>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</si>
  <si>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</si>
  <si>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</si>
  <si>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</si>
  <si>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</si>
  <si>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</si>
  <si>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</si>
  <si>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</si>
  <si>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</si>
  <si>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</si>
  <si>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</si>
  <si>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</si>
  <si>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</si>
  <si>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</si>
  <si>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</si>
  <si>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</si>
  <si>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</si>
  <si>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</si>
  <si>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</si>
  <si>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</si>
  <si>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</si>
  <si>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</si>
  <si>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</si>
  <si>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</si>
  <si>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</si>
  <si>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</si>
  <si>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</si>
  <si>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</si>
  <si>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</si>
  <si>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</si>
  <si>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</si>
  <si>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</si>
  <si>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</si>
  <si>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</si>
  <si>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</si>
  <si>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</si>
  <si>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</si>
  <si>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</si>
  <si>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</si>
  <si>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</si>
  <si>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</si>
  <si>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</si>
  <si>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</si>
  <si>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</si>
  <si>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</si>
  <si>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</si>
  <si>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</si>
  <si>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</si>
  <si>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</si>
  <si>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</si>
  <si>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</si>
  <si>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</si>
  <si>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</si>
  <si>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</si>
  <si>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</si>
  <si>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</si>
  <si>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</si>
  <si>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</si>
  <si>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</si>
  <si>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</si>
  <si>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</si>
  <si>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</si>
  <si>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</si>
  <si>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</si>
  <si>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</si>
  <si>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</si>
  <si>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</si>
  <si>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</si>
  <si>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</si>
  <si>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</si>
  <si>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</si>
  <si>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</si>
  <si>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</si>
  <si>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</si>
  <si>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</si>
  <si>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</si>
  <si>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</si>
  <si>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</si>
  <si>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</si>
  <si>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</si>
  <si>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</si>
  <si>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</si>
  <si>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</si>
  <si>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</si>
  <si>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</si>
  <si>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</si>
  <si>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</si>
  <si>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</si>
  <si>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</si>
  <si>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</si>
  <si>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</si>
  <si>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</si>
  <si>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</si>
  <si>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</si>
  <si>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</si>
  <si>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</si>
  <si>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</si>
  <si>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</si>
  <si>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</si>
  <si>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</si>
  <si>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</si>
  <si>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</si>
  <si>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</si>
  <si>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</si>
  <si>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</si>
  <si>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</si>
  <si>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</si>
  <si>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</si>
  <si>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</si>
  <si>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</si>
  <si>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</si>
  <si>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</si>
  <si>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</si>
  <si>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</si>
  <si>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</si>
  <si>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</si>
  <si>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</si>
  <si>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</si>
  <si>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</si>
  <si>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</si>
  <si>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</si>
  <si>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</si>
  <si>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</si>
  <si>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</si>
  <si>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</si>
  <si>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</si>
  <si>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</si>
  <si>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</si>
  <si>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</si>
  <si>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</si>
  <si>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</si>
  <si>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</si>
  <si>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</si>
  <si>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</si>
  <si>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</si>
  <si>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</si>
  <si>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</si>
  <si>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</si>
  <si>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</si>
  <si>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</si>
  <si>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</si>
  <si>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</si>
  <si>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</si>
  <si>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</si>
  <si>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</si>
  <si>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</si>
  <si>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</si>
  <si>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</si>
  <si>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</si>
  <si>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</si>
  <si>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</si>
  <si>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</si>
  <si>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</si>
  <si>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</si>
  <si>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</si>
  <si>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</si>
  <si>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</si>
  <si>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</si>
  <si>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</si>
  <si>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</si>
  <si>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</si>
  <si>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</si>
  <si>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</si>
  <si>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</si>
  <si>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</si>
  <si>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</si>
  <si>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</si>
  <si>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</si>
  <si>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</si>
  <si>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</si>
  <si>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</si>
  <si>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</si>
  <si>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</si>
  <si>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</si>
  <si>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</si>
  <si>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</si>
  <si>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</si>
  <si>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</si>
  <si>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</si>
  <si>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</si>
  <si>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</si>
  <si>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</si>
  <si>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</si>
  <si>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</si>
  <si>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</si>
  <si>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</si>
  <si>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</si>
  <si>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</si>
  <si>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</si>
  <si>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</si>
  <si>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</si>
  <si>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</si>
  <si>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</si>
  <si>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</si>
  <si>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</si>
  <si>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</si>
  <si>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</si>
  <si>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</si>
  <si>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</si>
  <si>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</si>
  <si>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</si>
  <si>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</si>
  <si>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</si>
  <si>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</si>
  <si>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</si>
  <si>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</si>
  <si>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</si>
  <si>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</si>
  <si>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</si>
  <si>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</si>
  <si>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</si>
  <si>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</si>
  <si>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</si>
  <si>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</si>
  <si>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</si>
  <si>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</si>
  <si>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</si>
  <si>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</si>
  <si>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</si>
  <si>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</si>
  <si>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</si>
  <si>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</si>
  <si>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</si>
  <si>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</si>
  <si>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</si>
  <si>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</si>
  <si>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</si>
  <si>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</si>
  <si>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</si>
  <si>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</si>
  <si>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</si>
  <si>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</si>
  <si>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</si>
  <si>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</si>
  <si>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</si>
  <si>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</si>
  <si>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</si>
  <si>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</si>
  <si>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</si>
  <si>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</si>
  <si>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</si>
  <si>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</si>
  <si>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</si>
  <si>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</si>
  <si>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</si>
  <si>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</si>
  <si>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</si>
  <si>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</si>
  <si>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</si>
  <si>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</si>
  <si>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</si>
  <si>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</si>
  <si>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</si>
  <si>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</si>
  <si>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</si>
  <si>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</si>
  <si>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</si>
  <si>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</si>
  <si>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</si>
  <si>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</si>
  <si>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</si>
  <si>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</si>
  <si>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</si>
  <si>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</si>
  <si>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</si>
  <si>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</si>
  <si>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</si>
  <si>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</si>
  <si>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</si>
  <si>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</si>
  <si>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</si>
  <si>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</si>
  <si>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</si>
  <si>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</si>
  <si>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</si>
  <si>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</si>
  <si>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</si>
  <si>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</si>
  <si>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</si>
  <si>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</si>
  <si>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</si>
  <si>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</si>
  <si>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</si>
  <si>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</si>
  <si>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</si>
  <si>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</si>
  <si>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</si>
  <si>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</si>
  <si>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</si>
  <si>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</si>
  <si>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</si>
  <si>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</si>
  <si>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</si>
  <si>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</si>
  <si>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</si>
  <si>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</si>
  <si>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</si>
  <si>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</si>
  <si>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</si>
  <si>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</si>
  <si>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</si>
  <si>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</si>
  <si>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</si>
  <si>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</si>
  <si>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</si>
  <si>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</si>
  <si>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</si>
  <si>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</si>
  <si>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</si>
  <si>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</si>
  <si>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</si>
  <si>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</si>
  <si>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</si>
  <si>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</si>
  <si>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</si>
  <si>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</si>
  <si>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</si>
  <si>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</si>
  <si>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</si>
  <si>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</si>
  <si>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</si>
  <si>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</si>
  <si>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</si>
  <si>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</si>
  <si>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</si>
  <si>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</si>
  <si>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</si>
  <si>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</si>
  <si>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</si>
  <si>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</si>
  <si>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</si>
  <si>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</si>
  <si>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</si>
  <si>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</si>
  <si>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</si>
  <si>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</si>
  <si>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</si>
  <si>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</si>
  <si>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</si>
  <si>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</si>
  <si>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</si>
  <si>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</si>
  <si>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</si>
  <si>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</si>
  <si>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</si>
  <si>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</si>
  <si>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</si>
  <si>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</si>
  <si>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</si>
  <si>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</si>
  <si>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</si>
  <si>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</si>
  <si>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</si>
  <si>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</si>
  <si>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</si>
  <si>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</si>
  <si>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</si>
  <si>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</si>
  <si>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</si>
  <si>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</si>
  <si>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</si>
  <si>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</si>
  <si>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</si>
  <si>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</si>
  <si>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</si>
  <si>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</si>
  <si>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</si>
  <si>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</si>
  <si>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</si>
  <si>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</si>
  <si>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</si>
  <si>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</si>
  <si>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</si>
  <si>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</si>
  <si>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</si>
  <si>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</si>
  <si>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</si>
  <si>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</si>
  <si>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</si>
  <si>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</si>
  <si>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</si>
  <si>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</si>
  <si>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</si>
  <si>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</si>
  <si>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</si>
  <si>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</si>
  <si>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</si>
  <si>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</si>
  <si>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</si>
  <si>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</si>
  <si>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</si>
  <si>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</si>
  <si>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</si>
  <si>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</si>
  <si>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</si>
  <si>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</si>
  <si>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</si>
  <si>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</si>
  <si>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</si>
  <si>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</si>
  <si>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</si>
  <si>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</si>
  <si>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</si>
  <si>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</si>
  <si>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</si>
  <si>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</si>
  <si>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</si>
  <si>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</si>
  <si>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</si>
  <si>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</si>
  <si>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</si>
  <si>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</si>
  <si>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</si>
  <si>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</si>
  <si>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</si>
  <si>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</si>
  <si>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</si>
  <si>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</si>
  <si>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</si>
  <si>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</si>
  <si>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</si>
  <si>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</si>
  <si>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</si>
  <si>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</si>
  <si>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</si>
  <si>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</si>
  <si>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</si>
  <si>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</si>
  <si>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</si>
  <si>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</si>
  <si>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</si>
  <si>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</si>
  <si>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</si>
  <si>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</si>
  <si>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</si>
  <si>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</si>
  <si>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</si>
  <si>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</si>
  <si>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</si>
  <si>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</si>
  <si>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</si>
  <si>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</si>
  <si>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</si>
  <si>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</si>
  <si>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</si>
  <si>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</si>
  <si>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</si>
  <si>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</si>
  <si>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</si>
  <si>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</si>
  <si>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</si>
  <si>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</si>
  <si>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</si>
  <si>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</si>
  <si>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</si>
  <si>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</si>
  <si>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</si>
  <si>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</si>
  <si>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</si>
  <si>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</si>
  <si>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</si>
  <si>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</si>
  <si>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</si>
  <si>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</si>
  <si>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</si>
  <si>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</si>
  <si>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</si>
  <si>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</si>
  <si>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</si>
  <si>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</si>
  <si>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</si>
  <si>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</si>
  <si>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</si>
  <si>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</si>
  <si>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</si>
  <si>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</si>
  <si>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</si>
  <si>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</si>
  <si>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</si>
  <si>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</si>
  <si>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</si>
  <si>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</si>
  <si>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</si>
  <si>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</si>
  <si>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</si>
  <si>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</si>
  <si>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</si>
  <si>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</si>
  <si>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</si>
  <si>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</si>
  <si>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</si>
  <si>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</si>
  <si>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</si>
  <si>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</si>
  <si>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</si>
  <si>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</si>
  <si>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</si>
  <si>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</si>
  <si>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</si>
  <si>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</si>
  <si>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</si>
  <si>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</si>
  <si>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</si>
  <si>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</si>
  <si>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</si>
  <si>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</si>
  <si>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</si>
  <si>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</si>
  <si>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</si>
  <si>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</si>
  <si>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</si>
  <si>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</si>
  <si>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</si>
  <si>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</si>
  <si>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</si>
  <si>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</si>
  <si>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</si>
  <si>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</si>
  <si>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</si>
  <si>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</si>
  <si>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</si>
  <si>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</si>
  <si>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</si>
  <si>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</si>
  <si>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</si>
  <si>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</si>
  <si>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</si>
  <si>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</si>
  <si>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</si>
  <si>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</si>
  <si>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</si>
  <si>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</si>
  <si>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</si>
  <si>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</si>
  <si>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</si>
  <si>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</si>
  <si>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</si>
  <si>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</si>
  <si>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</si>
  <si>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</si>
  <si>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</si>
  <si>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</si>
  <si>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</si>
  <si>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</si>
  <si>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</si>
  <si>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</si>
  <si>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</si>
  <si>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</si>
  <si>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</si>
  <si>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</si>
  <si>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</si>
  <si>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</si>
  <si>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</si>
  <si>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</si>
  <si>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</si>
  <si>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</si>
  <si>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</si>
  <si>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</si>
  <si>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</si>
  <si>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</si>
  <si>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</si>
  <si>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</si>
  <si>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</si>
  <si>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</si>
  <si>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</si>
  <si>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</si>
  <si>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</si>
  <si>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</si>
  <si>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</si>
  <si>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</si>
  <si>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</si>
  <si>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</si>
  <si>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</si>
  <si>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</si>
  <si>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</si>
  <si>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</si>
  <si>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</si>
  <si>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</si>
  <si>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</si>
  <si>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</si>
  <si>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</si>
  <si>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</si>
  <si>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</si>
  <si>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</si>
  <si>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</si>
  <si>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</si>
  <si>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</si>
  <si>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</si>
  <si>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</si>
  <si>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</si>
  <si>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</si>
  <si>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</si>
  <si>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</si>
  <si>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</si>
  <si>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</si>
  <si>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</si>
  <si>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</si>
  <si>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</si>
  <si>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</si>
  <si>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</si>
  <si>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</si>
  <si>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</si>
  <si>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</si>
  <si>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</si>
  <si>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</si>
  <si>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</si>
  <si>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</si>
  <si>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</si>
  <si>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</si>
  <si>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</si>
  <si>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</si>
  <si>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</si>
  <si>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</si>
  <si>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</si>
  <si>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</si>
  <si>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</si>
  <si>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</si>
  <si>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</si>
  <si>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</si>
  <si>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</si>
  <si>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</si>
  <si>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</si>
  <si>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</si>
  <si>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</si>
  <si>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</si>
  <si>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</si>
  <si>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</si>
  <si>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</si>
  <si>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</si>
  <si>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</si>
  <si>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</si>
  <si>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</si>
  <si>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</si>
  <si>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</si>
  <si>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</si>
  <si>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</si>
  <si>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</si>
  <si>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</si>
  <si>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</si>
  <si>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</si>
  <si>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</si>
  <si>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</si>
  <si>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</si>
  <si>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</si>
  <si>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</si>
  <si>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</si>
  <si>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</si>
  <si>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</si>
  <si>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</si>
  <si>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</si>
  <si>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</si>
  <si>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</si>
  <si>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</si>
  <si>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</si>
  <si>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</si>
  <si>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</si>
  <si>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</si>
  <si>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</si>
  <si>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</si>
  <si>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</si>
  <si>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</si>
  <si>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</si>
  <si>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</si>
  <si>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</si>
  <si>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</si>
  <si>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</si>
  <si>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</si>
  <si>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</si>
  <si>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</si>
  <si>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</si>
  <si>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</si>
  <si>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</si>
  <si>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</si>
  <si>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</si>
  <si>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</si>
  <si>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</si>
  <si>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</si>
  <si>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</si>
  <si>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</si>
  <si>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</si>
  <si>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</si>
  <si>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</si>
  <si>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</si>
  <si>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</si>
  <si>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</si>
  <si>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</si>
  <si>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</si>
  <si>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</si>
  <si>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</si>
  <si>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</si>
  <si>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</si>
  <si>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</si>
  <si>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</si>
  <si>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</si>
  <si>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</si>
  <si>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</si>
  <si>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</si>
  <si>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</si>
  <si>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</si>
  <si>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</si>
  <si>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</si>
  <si>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</si>
  <si>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</si>
  <si>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</si>
  <si>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</si>
  <si>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</si>
  <si>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</si>
  <si>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</si>
  <si>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</si>
  <si>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</si>
  <si>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</si>
  <si>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</si>
  <si>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</si>
  <si>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</si>
  <si>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</si>
  <si>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</si>
  <si>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</si>
  <si>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</si>
  <si>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</si>
  <si>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</si>
  <si>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</si>
  <si>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</si>
  <si>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</si>
  <si>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</si>
  <si>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</si>
  <si>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</si>
  <si>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</si>
  <si>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</si>
  <si>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</si>
  <si>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</si>
  <si>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</si>
  <si>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</si>
  <si>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</si>
  <si>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</si>
  <si>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</si>
  <si>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</si>
  <si>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</si>
  <si>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</si>
  <si>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</si>
  <si>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</si>
  <si>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</si>
  <si>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</si>
  <si>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</si>
  <si>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</si>
  <si>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</si>
  <si>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</si>
  <si>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</si>
  <si>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</si>
  <si>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</si>
  <si>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</si>
  <si>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</si>
  <si>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</si>
  <si>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</si>
  <si>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</si>
  <si>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</si>
  <si>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</si>
  <si>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</si>
  <si>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</si>
  <si>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</si>
  <si>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</si>
  <si>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</si>
  <si>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</si>
  <si>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</si>
  <si>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</si>
  <si>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</si>
  <si>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</si>
  <si>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</si>
  <si>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</si>
  <si>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</si>
  <si>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</si>
  <si>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</si>
  <si>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</si>
  <si>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</si>
  <si>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</si>
  <si>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</si>
  <si>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</si>
  <si>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</si>
  <si>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</si>
  <si>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</si>
  <si>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</si>
  <si>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</si>
  <si>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</si>
  <si>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</si>
  <si>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</si>
  <si>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</si>
  <si>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</si>
  <si>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</si>
  <si>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</si>
  <si>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</si>
  <si>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</si>
  <si>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</si>
  <si>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</si>
  <si>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</si>
  <si>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</si>
  <si>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</si>
  <si>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</si>
  <si>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</si>
  <si>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</si>
  <si>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</si>
  <si>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</si>
  <si>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</si>
  <si>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</si>
  <si>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</si>
  <si>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</si>
  <si>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</si>
  <si>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</si>
  <si>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</si>
  <si>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</si>
  <si>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</si>
  <si>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</si>
  <si>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</si>
  <si>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</si>
  <si>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</si>
  <si>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</si>
  <si>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</si>
  <si>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</si>
  <si>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</si>
  <si>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</si>
  <si>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</si>
  <si>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</si>
  <si>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</si>
  <si>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</si>
  <si>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</si>
  <si>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</si>
  <si>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</si>
  <si>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</si>
  <si>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</si>
  <si>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</si>
  <si>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</si>
  <si>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</si>
  <si>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</si>
  <si>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</si>
  <si>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</si>
  <si>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</si>
  <si>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</si>
  <si>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</si>
  <si>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</si>
  <si>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</si>
  <si>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</si>
  <si>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</si>
  <si>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</si>
  <si>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</si>
  <si>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</si>
  <si>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</si>
  <si>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</si>
  <si>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</si>
  <si>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</si>
  <si>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</si>
  <si>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</si>
  <si>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</si>
  <si>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</si>
  <si>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</si>
  <si>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</si>
  <si>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</si>
  <si>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</si>
  <si>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</si>
  <si>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</si>
  <si>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</si>
  <si>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</si>
  <si>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</si>
  <si>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</si>
  <si>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</si>
  <si>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</si>
  <si>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</si>
  <si>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</si>
  <si>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</si>
  <si>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</si>
  <si>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</si>
  <si>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</si>
  <si>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</si>
  <si>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</si>
  <si>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</si>
  <si>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</si>
  <si>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</si>
  <si>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</si>
  <si>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</si>
  <si>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</si>
  <si>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</si>
  <si>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</si>
  <si>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</si>
  <si>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</si>
  <si>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</si>
  <si>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</si>
  <si>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</si>
  <si>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</si>
  <si>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</si>
  <si>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</si>
  <si>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</si>
  <si>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</si>
  <si>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</si>
  <si>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</si>
  <si>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</si>
  <si>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</si>
  <si>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</si>
  <si>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</si>
  <si>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</si>
  <si>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</si>
  <si>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</si>
  <si>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</si>
  <si>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</si>
  <si>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</si>
  <si>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</si>
  <si>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</si>
  <si>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</si>
  <si>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</si>
  <si>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</si>
  <si>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</si>
  <si>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</si>
  <si>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</si>
  <si>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</si>
  <si>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</si>
  <si>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</si>
  <si>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</si>
  <si>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</si>
  <si>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</si>
  <si>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</si>
  <si>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</si>
  <si>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</si>
  <si>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</si>
  <si>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</si>
  <si>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</si>
  <si>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</si>
  <si>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</si>
  <si>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</si>
  <si>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</si>
  <si>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</si>
  <si>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</si>
  <si>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</si>
  <si>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</si>
  <si>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</si>
  <si>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</si>
  <si>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</si>
  <si>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</si>
  <si>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</si>
  <si>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</si>
  <si>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</si>
  <si>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</si>
  <si>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</si>
  <si>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</si>
  <si>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</si>
  <si>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</si>
  <si>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</si>
  <si>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</si>
  <si>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</si>
  <si>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</si>
  <si>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</si>
  <si>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</si>
  <si>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</si>
  <si>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</si>
  <si>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</si>
  <si>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</si>
  <si>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</si>
  <si>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</si>
  <si>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</si>
  <si>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</si>
  <si>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</si>
  <si>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</si>
  <si>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</si>
  <si>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</si>
  <si>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</si>
  <si>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</si>
  <si>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</si>
  <si>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</si>
  <si>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</si>
  <si>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</si>
  <si>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</si>
  <si>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</si>
  <si>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</si>
  <si>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</si>
  <si>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</si>
  <si>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</si>
  <si>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</si>
  <si>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</si>
  <si>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</si>
  <si>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</si>
  <si>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</si>
  <si>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</si>
  <si>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</si>
  <si>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</si>
  <si>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</si>
  <si>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</si>
  <si>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</si>
  <si>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</si>
  <si>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</si>
  <si>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</si>
  <si>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</si>
  <si>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</si>
  <si>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</si>
  <si>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</si>
  <si>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</si>
  <si>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</si>
  <si>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</si>
  <si>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</si>
  <si>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</si>
  <si>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</si>
  <si>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</si>
  <si>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</si>
  <si>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</si>
  <si>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</si>
  <si>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</si>
  <si>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</si>
  <si>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</si>
  <si>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</si>
  <si>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</si>
  <si>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</si>
  <si>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</si>
  <si>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</si>
  <si>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</si>
  <si>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</si>
  <si>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</si>
  <si>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</si>
  <si>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</si>
  <si>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</si>
  <si>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</si>
  <si>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</si>
  <si>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</si>
  <si>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</si>
  <si>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</si>
  <si>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</si>
  <si>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</si>
  <si>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</si>
  <si>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</si>
  <si>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</si>
  <si>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</si>
  <si>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</si>
  <si>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</si>
  <si>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</si>
  <si>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</si>
  <si>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</si>
  <si>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</si>
  <si>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</si>
  <si>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</si>
  <si>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</si>
  <si>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</si>
  <si>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</si>
  <si>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</si>
  <si>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</si>
  <si>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</si>
  <si>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</si>
  <si>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</si>
  <si>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</si>
  <si>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</si>
  <si>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</si>
  <si>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</si>
  <si>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</si>
  <si>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</si>
  <si>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</si>
  <si>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</si>
  <si>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</si>
  <si>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</si>
  <si>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</si>
  <si>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</si>
  <si>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</si>
  <si>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</si>
  <si>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</si>
  <si>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</si>
  <si>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</si>
  <si>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</si>
  <si>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</si>
  <si>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</si>
  <si>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</si>
  <si>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</si>
  <si>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</si>
  <si>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</si>
  <si>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</si>
  <si>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</si>
  <si>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</si>
  <si>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</si>
  <si>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</si>
  <si>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</si>
  <si>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</si>
  <si>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</si>
  <si>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</si>
  <si>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</si>
  <si>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</si>
  <si>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</si>
  <si>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</si>
  <si>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</si>
  <si>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</si>
  <si>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</si>
  <si>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</si>
  <si>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</si>
  <si>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</si>
  <si>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</si>
  <si>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</si>
  <si>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</si>
  <si>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</si>
  <si>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</si>
  <si>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</si>
  <si>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</si>
  <si>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</si>
  <si>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</si>
  <si>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</si>
  <si>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</si>
  <si>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</si>
  <si>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</si>
  <si>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</si>
  <si>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</si>
  <si>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</si>
  <si>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</si>
  <si>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</si>
  <si>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</si>
  <si>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</si>
  <si>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</si>
  <si>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</si>
  <si>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</si>
  <si>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</si>
  <si>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</si>
  <si>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</si>
  <si>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</si>
  <si>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</si>
  <si>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</si>
  <si>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</si>
  <si>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</si>
  <si>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</si>
  <si>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</si>
  <si>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</si>
  <si>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</si>
  <si>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</si>
  <si>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</si>
  <si>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</si>
  <si>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</si>
  <si>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</si>
  <si>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</si>
  <si>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</si>
  <si>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</si>
  <si>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</si>
  <si>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</si>
  <si>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</si>
  <si>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</si>
  <si>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</si>
  <si>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</si>
  <si>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</si>
  <si>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</si>
  <si>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</si>
  <si>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</si>
  <si>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</si>
  <si>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</si>
  <si>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</si>
  <si>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</si>
  <si>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</si>
  <si>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</si>
  <si>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</si>
  <si>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</si>
  <si>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</si>
  <si>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</si>
  <si>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</si>
  <si>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</si>
  <si>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</si>
  <si>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</si>
  <si>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</si>
  <si>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</si>
  <si>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</si>
  <si>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</si>
  <si>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</si>
  <si>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</si>
  <si>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</si>
  <si>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</si>
  <si>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</si>
  <si>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</si>
  <si>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</si>
  <si>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</si>
  <si>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</si>
  <si>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</si>
  <si>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</si>
  <si>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</si>
  <si>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</si>
  <si>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</si>
  <si>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</si>
  <si>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</si>
  <si>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</si>
  <si>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</si>
  <si>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</si>
  <si>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</si>
  <si>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</si>
  <si>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</si>
  <si>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</si>
  <si>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</si>
  <si>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</si>
  <si>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</si>
  <si>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</si>
  <si>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</si>
  <si>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</si>
  <si>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</si>
  <si>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</si>
  <si>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</si>
  <si>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</si>
  <si>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</si>
  <si>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</si>
  <si>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</si>
  <si>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</si>
  <si>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</si>
  <si>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</si>
  <si>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</si>
  <si>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</si>
  <si>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</si>
  <si>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</si>
  <si>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</si>
  <si>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</si>
  <si>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</si>
  <si>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</si>
  <si>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</si>
  <si>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</si>
  <si>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</si>
  <si>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</si>
  <si>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</si>
  <si>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</si>
  <si>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</si>
  <si>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</si>
  <si>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</si>
  <si>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</si>
  <si>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</si>
  <si>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</si>
  <si>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</si>
  <si>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</si>
  <si>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</si>
  <si>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</si>
  <si>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</si>
  <si>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</si>
  <si>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</si>
  <si>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</si>
  <si>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</si>
  <si>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</si>
  <si>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</si>
  <si>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</si>
  <si>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</si>
  <si>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</si>
  <si>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</si>
  <si>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</si>
  <si>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</si>
  <si>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</si>
  <si>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</si>
  <si>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</si>
  <si>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</si>
  <si>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</si>
  <si>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</si>
  <si>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</si>
  <si>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</si>
  <si>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</si>
  <si>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</si>
  <si>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</si>
  <si>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</si>
  <si>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</si>
  <si>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</si>
  <si>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</si>
  <si>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</si>
  <si>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</si>
  <si>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</si>
  <si>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</si>
  <si>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</si>
  <si>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</si>
  <si>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</si>
  <si>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</si>
  <si>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</si>
  <si>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</si>
  <si>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</si>
  <si>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</si>
  <si>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</si>
  <si>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</si>
  <si>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</si>
  <si>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</si>
  <si>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</si>
  <si>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</si>
  <si>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</si>
  <si>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</si>
  <si>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</si>
  <si>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</si>
  <si>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</si>
  <si>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</si>
  <si>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</si>
  <si>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</si>
  <si>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</si>
  <si>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</si>
  <si>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</si>
  <si>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</si>
  <si>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</si>
  <si>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</si>
  <si>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</si>
  <si>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</si>
  <si>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</si>
  <si>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</si>
  <si>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</si>
  <si>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</si>
  <si>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</si>
  <si>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</si>
  <si>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</si>
  <si>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</si>
  <si>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</si>
  <si>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</si>
  <si>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</si>
  <si>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</si>
  <si>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</si>
  <si>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</si>
  <si>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</si>
  <si>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</si>
  <si>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</si>
  <si>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</si>
  <si>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</si>
  <si>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</si>
  <si>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</si>
  <si>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</si>
  <si>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</si>
  <si>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</si>
  <si>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</si>
  <si>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</si>
  <si>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</si>
  <si>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</si>
  <si>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</si>
  <si>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</si>
  <si>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</si>
  <si>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</si>
  <si>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</si>
  <si>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</si>
  <si>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</si>
  <si>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</si>
  <si>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</si>
  <si>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</si>
  <si>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</si>
  <si>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</si>
  <si>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</si>
  <si>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</si>
  <si>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</si>
  <si>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</si>
  <si>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</si>
  <si>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</si>
  <si>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</si>
  <si>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</si>
  <si>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</si>
  <si>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</si>
  <si>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</si>
  <si>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</si>
  <si>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</si>
  <si>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</si>
  <si>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</si>
  <si>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</si>
  <si>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</si>
  <si>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</si>
  <si>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</si>
  <si>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</si>
  <si>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</si>
  <si>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</si>
  <si>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</si>
  <si>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</si>
  <si>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</si>
  <si>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</si>
  <si>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</si>
  <si>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</si>
  <si>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</si>
  <si>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</si>
  <si>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</si>
  <si>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</si>
  <si>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</si>
  <si>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</si>
  <si>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</si>
  <si>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</si>
  <si>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</si>
  <si>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</si>
  <si>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</si>
  <si>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</si>
  <si>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</si>
  <si>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</si>
  <si>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</si>
  <si>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</si>
  <si>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</si>
  <si>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</si>
  <si>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</si>
  <si>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</si>
  <si>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</si>
  <si>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</si>
  <si>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</si>
  <si>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</si>
  <si>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</si>
  <si>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</si>
  <si>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</si>
  <si>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</si>
  <si>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</si>
  <si>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</si>
  <si>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</si>
  <si>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</si>
  <si>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</si>
  <si>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</si>
  <si>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</si>
  <si>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</si>
  <si>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</si>
  <si>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</si>
  <si>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</si>
  <si>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</si>
  <si>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</si>
  <si>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</si>
  <si>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</si>
  <si>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</si>
  <si>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</si>
  <si>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</si>
  <si>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</si>
  <si>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</si>
  <si>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</si>
  <si>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</si>
  <si>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</si>
  <si>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</si>
  <si>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</si>
  <si>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</si>
  <si>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</si>
  <si>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</si>
  <si>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</si>
  <si>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</si>
  <si>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</si>
  <si>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</si>
  <si>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</si>
  <si>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</si>
  <si>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</si>
  <si>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</si>
  <si>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</si>
  <si>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</si>
  <si>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</si>
  <si>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</si>
  <si>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</si>
  <si>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</si>
  <si>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</si>
  <si>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</si>
  <si>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</si>
  <si>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</si>
  <si>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</si>
  <si>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</si>
  <si>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</si>
  <si>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</si>
  <si>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</si>
  <si>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</si>
  <si>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</si>
  <si>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</si>
  <si>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</si>
  <si>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</si>
  <si>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</si>
  <si>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</si>
  <si>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</si>
  <si>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</si>
  <si>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</si>
  <si>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</si>
  <si>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</si>
  <si>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</si>
  <si>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</si>
  <si>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</si>
  <si>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</si>
  <si>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</si>
  <si>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</si>
  <si>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</si>
  <si>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</si>
  <si>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</si>
  <si>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</si>
  <si>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</si>
  <si>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</si>
  <si>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</si>
  <si>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</si>
  <si>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</si>
  <si>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</si>
  <si>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</si>
  <si>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</si>
  <si>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</si>
  <si>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</si>
  <si>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</si>
  <si>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</si>
  <si>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</si>
  <si>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</si>
  <si>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</si>
  <si>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</si>
  <si>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</si>
  <si>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</si>
  <si>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</si>
  <si>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</si>
  <si>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</si>
  <si>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</si>
  <si>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</si>
  <si>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</si>
  <si>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</si>
  <si>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</si>
  <si>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</si>
  <si>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</si>
  <si>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</si>
  <si>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</si>
  <si>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</si>
  <si>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</si>
  <si>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</si>
  <si>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</si>
  <si>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</si>
  <si>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</si>
  <si>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</si>
  <si>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</si>
  <si>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</si>
  <si>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</si>
  <si>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</si>
  <si>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</si>
  <si>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</si>
  <si>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</si>
  <si>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</si>
  <si>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</si>
  <si>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</si>
  <si>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</si>
  <si>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</si>
  <si>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</si>
  <si>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</si>
  <si>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</si>
  <si>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</si>
  <si>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</si>
  <si>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</si>
  <si>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</si>
  <si>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</si>
  <si>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</si>
  <si>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</si>
  <si>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</si>
  <si>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</si>
  <si>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</si>
  <si>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</si>
  <si>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</si>
  <si>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</si>
  <si>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</si>
  <si>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</si>
  <si>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</si>
  <si>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</si>
  <si>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</si>
  <si>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</si>
  <si>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</si>
  <si>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</si>
  <si>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</si>
  <si>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</si>
  <si>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</si>
  <si>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</si>
  <si>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</si>
  <si>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</si>
  <si>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</si>
  <si>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</si>
  <si>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</si>
  <si>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</si>
  <si>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</si>
  <si>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</si>
  <si>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</si>
  <si>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</si>
  <si>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</si>
  <si>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</si>
  <si>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</si>
  <si>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</si>
  <si>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</si>
  <si>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</si>
  <si>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</si>
  <si>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</si>
  <si>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</si>
  <si>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</si>
  <si>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</si>
  <si>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</si>
  <si>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</si>
  <si>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</si>
  <si>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</si>
  <si>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</si>
  <si>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</si>
  <si>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</si>
  <si>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</si>
  <si>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</si>
  <si>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</si>
  <si>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</si>
  <si>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</si>
  <si>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</si>
  <si>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</si>
  <si>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</si>
  <si>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</si>
  <si>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</si>
  <si>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</si>
  <si>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</si>
  <si>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</si>
  <si>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</si>
  <si>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</si>
  <si>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</si>
  <si>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</si>
  <si>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</si>
  <si>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</si>
  <si>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</si>
  <si>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</si>
  <si>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</si>
  <si>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</si>
  <si>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</si>
  <si>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</si>
  <si>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</si>
  <si>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</si>
  <si>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</si>
  <si>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</si>
  <si>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</si>
  <si>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</si>
  <si>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</si>
  <si>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</si>
  <si>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</si>
  <si>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</si>
  <si>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</si>
  <si>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</si>
  <si>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</si>
  <si>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</si>
  <si>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</si>
  <si>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</si>
  <si>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</si>
  <si>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</si>
  <si>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</si>
  <si>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</si>
  <si>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</si>
  <si>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</si>
  <si>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</si>
  <si>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</si>
  <si>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</si>
  <si>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</si>
  <si>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</si>
  <si>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</si>
  <si>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</si>
  <si>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</si>
  <si>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</si>
  <si>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</si>
  <si>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</si>
  <si>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</si>
  <si>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</si>
  <si>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</si>
  <si>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</si>
  <si>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</si>
  <si>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</si>
  <si>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</si>
  <si>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</si>
  <si>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</si>
  <si>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</si>
  <si>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</si>
  <si>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</si>
  <si>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</si>
  <si>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</si>
  <si>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</si>
  <si>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</si>
  <si>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</si>
  <si>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</si>
  <si>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</si>
  <si>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</si>
  <si>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</si>
  <si>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</si>
  <si>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</si>
  <si>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</si>
  <si>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</si>
  <si>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</si>
  <si>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</si>
  <si>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</si>
  <si>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</si>
  <si>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</si>
  <si>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</si>
  <si>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</si>
  <si>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</si>
  <si>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</si>
  <si>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</si>
  <si>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</si>
  <si>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</si>
  <si>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</si>
  <si>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</si>
  <si>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</si>
  <si>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</si>
  <si>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</si>
  <si>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</si>
  <si>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</si>
  <si>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</si>
  <si>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</si>
  <si>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</si>
  <si>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</si>
  <si>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</si>
  <si>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</si>
  <si>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</si>
  <si>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</si>
  <si>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</si>
  <si>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</si>
  <si>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</si>
  <si>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</si>
  <si>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</si>
  <si>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</si>
  <si>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</si>
  <si>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</si>
  <si>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</si>
  <si>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</si>
  <si>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</si>
  <si>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</si>
  <si>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</si>
  <si>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</si>
  <si>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</si>
  <si>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</si>
  <si>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</si>
  <si>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</si>
  <si>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</si>
  <si>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</si>
  <si>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</si>
  <si>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</si>
  <si>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</si>
  <si>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</si>
  <si>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</si>
  <si>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</si>
  <si>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</si>
  <si>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</si>
  <si>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</si>
  <si>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</si>
  <si>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</si>
  <si>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</si>
  <si>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</si>
  <si>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</si>
  <si>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</si>
  <si>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</si>
  <si>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</si>
  <si>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</si>
  <si>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</si>
  <si>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</si>
  <si>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</si>
  <si>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</si>
  <si>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</si>
  <si>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</si>
  <si>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</si>
  <si>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</si>
  <si>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</si>
  <si>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</si>
  <si>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</si>
  <si>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</si>
  <si>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</si>
  <si>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</si>
  <si>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</si>
  <si>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</si>
  <si>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</si>
  <si>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</si>
  <si>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</si>
  <si>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</si>
  <si>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</si>
  <si>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</si>
  <si>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</si>
  <si>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</si>
  <si>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</si>
  <si>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</si>
  <si>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</si>
  <si>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</si>
  <si>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</si>
  <si>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</si>
  <si>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</si>
  <si>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</si>
  <si>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</si>
  <si>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</si>
  <si>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</si>
  <si>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</si>
  <si>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</si>
  <si>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</si>
  <si>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</si>
  <si>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</si>
  <si>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</si>
  <si>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</si>
  <si>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</si>
  <si>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</si>
  <si>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</si>
  <si>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</si>
  <si>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</si>
  <si>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</si>
  <si>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</si>
  <si>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</si>
  <si>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</si>
  <si>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</si>
  <si>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</si>
  <si>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</si>
  <si>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</si>
  <si>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</si>
  <si>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</si>
  <si>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</si>
  <si>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</si>
  <si>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</si>
  <si>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</si>
  <si>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</si>
  <si>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</si>
  <si>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</si>
  <si>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</si>
  <si>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</si>
  <si>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</si>
  <si>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</si>
  <si>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</si>
  <si>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</si>
  <si>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</si>
  <si>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</si>
  <si>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</si>
  <si>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</si>
  <si>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</si>
  <si>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</si>
  <si>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</si>
  <si>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</si>
  <si>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</si>
  <si>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</si>
  <si>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</si>
  <si>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</si>
  <si>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</si>
  <si>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</si>
  <si>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</si>
  <si>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</si>
  <si>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</si>
  <si>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</si>
  <si>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</si>
  <si>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</si>
  <si>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</si>
  <si>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</si>
  <si>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</si>
  <si>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</si>
  <si>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</si>
  <si>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</si>
  <si>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</si>
  <si>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</si>
  <si>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</si>
  <si>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</si>
  <si>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</si>
  <si>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</si>
  <si>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</si>
  <si>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</si>
  <si>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</si>
  <si>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</si>
  <si>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</si>
  <si>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</si>
  <si>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</si>
  <si>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</si>
  <si>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</si>
  <si>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</si>
  <si>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</si>
  <si>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</si>
  <si>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</si>
  <si>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</si>
  <si>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</si>
  <si>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</si>
  <si>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</si>
  <si>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</si>
  <si>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</si>
  <si>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</si>
  <si>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</si>
  <si>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</si>
  <si>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</si>
  <si>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</si>
  <si>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</si>
  <si>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</si>
  <si>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</si>
  <si>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</si>
  <si>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</si>
  <si>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</si>
  <si>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</si>
  <si>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</si>
  <si>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</si>
  <si>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</si>
  <si>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</si>
  <si>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</si>
  <si>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</si>
  <si>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</si>
  <si>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</si>
  <si>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</si>
  <si>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</si>
  <si>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</si>
  <si>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</si>
  <si>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</si>
  <si>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</si>
  <si>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</si>
  <si>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</si>
  <si>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</si>
  <si>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</si>
  <si>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</si>
  <si>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</si>
  <si>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</si>
  <si>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</si>
  <si>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</si>
  <si>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</si>
  <si>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</si>
  <si>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</si>
  <si>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</si>
  <si>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</si>
  <si>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</si>
  <si>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</si>
  <si>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</si>
  <si>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</si>
  <si>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</si>
  <si>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</si>
  <si>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</si>
  <si>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</si>
  <si>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</si>
  <si>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</si>
  <si>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</si>
  <si>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</si>
  <si>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</si>
  <si>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</si>
  <si>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</si>
  <si>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</si>
  <si>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</si>
  <si>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</si>
  <si>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</si>
  <si>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</si>
  <si>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</si>
  <si>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</si>
  <si>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</si>
  <si>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</si>
  <si>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</si>
  <si>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</si>
  <si>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</si>
  <si>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</si>
  <si>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</si>
  <si>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</si>
  <si>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</si>
  <si>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</si>
  <si>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</si>
  <si>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</si>
  <si>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</si>
  <si>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</si>
  <si>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</si>
  <si>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</si>
  <si>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</si>
  <si>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</si>
  <si>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</si>
  <si>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</si>
  <si>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</si>
  <si>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</si>
  <si>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</si>
  <si>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</si>
  <si>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</si>
  <si>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</si>
  <si>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</si>
  <si>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</si>
  <si>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</si>
  <si>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</si>
  <si>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</si>
  <si>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</si>
  <si>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</si>
  <si>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</si>
  <si>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</si>
  <si>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</si>
  <si>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</si>
  <si>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</si>
  <si>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</si>
  <si>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</si>
  <si>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</si>
  <si>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</si>
  <si>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</si>
  <si>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</si>
  <si>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</si>
  <si>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</si>
  <si>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</si>
  <si>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</si>
  <si>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</si>
  <si>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</si>
  <si>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</si>
  <si>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</si>
  <si>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</si>
  <si>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</si>
  <si>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</si>
  <si>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</si>
  <si>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</si>
  <si>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</si>
  <si>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</si>
  <si>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</si>
  <si>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</si>
  <si>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</si>
  <si>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</si>
  <si>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</si>
  <si>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</si>
  <si>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</si>
  <si>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</si>
  <si>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</si>
  <si>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</si>
  <si>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</si>
  <si>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</si>
  <si>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</si>
  <si>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</si>
  <si>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</si>
  <si>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</si>
  <si>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</si>
  <si>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</si>
  <si>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</si>
  <si>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</si>
  <si>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</si>
  <si>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</si>
  <si>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</si>
  <si>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</si>
  <si>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</si>
  <si>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</si>
  <si>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</si>
  <si>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</si>
  <si>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</si>
  <si>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</si>
  <si>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</si>
  <si>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</si>
  <si>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</si>
  <si>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</si>
  <si>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</si>
  <si>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</si>
  <si>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</si>
  <si>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</si>
  <si>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</si>
  <si>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</si>
  <si>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</si>
  <si>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</si>
  <si>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</si>
  <si>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</si>
  <si>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</si>
  <si>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</si>
  <si>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</si>
  <si>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</si>
  <si>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</si>
  <si>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</si>
  <si>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</si>
  <si>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</si>
  <si>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</si>
  <si>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</si>
  <si>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</si>
  <si>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</si>
  <si>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</si>
  <si>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</si>
  <si>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</si>
  <si>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</si>
  <si>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</si>
  <si>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</si>
  <si>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</si>
  <si>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</si>
  <si>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</si>
  <si>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</si>
  <si>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</si>
  <si>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</si>
  <si>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</si>
  <si>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</si>
  <si>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</si>
  <si>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</si>
  <si>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</si>
  <si>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</si>
  <si>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</si>
  <si>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</si>
  <si>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</si>
  <si>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</si>
  <si>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</si>
  <si>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</si>
  <si>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</si>
  <si>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</si>
  <si>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</si>
  <si>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</si>
  <si>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</si>
  <si>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</si>
  <si>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</si>
  <si>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</si>
  <si>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</si>
  <si>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</si>
  <si>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</si>
  <si>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</si>
  <si>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</si>
  <si>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</si>
  <si>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</si>
  <si>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</si>
  <si>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</si>
  <si>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</si>
  <si>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</si>
  <si>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</si>
  <si>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</si>
  <si>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</si>
  <si>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</si>
  <si>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</si>
  <si>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</si>
  <si>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</si>
  <si>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</si>
  <si>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</si>
  <si>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</si>
  <si>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</si>
  <si>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</si>
  <si>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</si>
  <si>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</si>
  <si>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</si>
  <si>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</si>
  <si>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</si>
  <si>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</si>
  <si>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</si>
  <si>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</si>
  <si>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</si>
  <si>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</si>
  <si>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</si>
  <si>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</si>
  <si>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</si>
  <si>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</si>
  <si>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</si>
  <si>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</si>
  <si>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</si>
  <si>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</si>
  <si>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</si>
  <si>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</si>
  <si>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</si>
  <si>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</si>
  <si>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</si>
  <si>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</si>
  <si>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</si>
  <si>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</si>
  <si>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</si>
  <si>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</si>
  <si>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</si>
  <si>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</si>
  <si>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</si>
  <si>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</si>
  <si>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</si>
  <si>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</si>
  <si>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</si>
  <si>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</si>
  <si>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</si>
  <si>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</si>
  <si>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</si>
  <si>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</si>
  <si>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</si>
  <si>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</si>
  <si>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</si>
  <si>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</si>
  <si>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</si>
  <si>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</si>
  <si>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</si>
  <si>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</si>
  <si>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</si>
  <si>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</si>
  <si>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</si>
  <si>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</si>
  <si>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</si>
  <si>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</si>
  <si>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</si>
  <si>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</si>
  <si>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</si>
  <si>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</si>
  <si>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</si>
  <si>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</si>
  <si>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</si>
  <si>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</si>
  <si>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</si>
  <si>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</si>
  <si>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</si>
  <si>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</si>
  <si>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</si>
  <si>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</si>
  <si>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</si>
  <si>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</si>
  <si>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</si>
  <si>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</si>
  <si>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</si>
  <si>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</si>
  <si>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</si>
  <si>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</si>
  <si>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</si>
  <si>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</si>
  <si>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</si>
  <si>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</si>
  <si>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</si>
  <si>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</si>
  <si>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</si>
  <si>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</si>
  <si>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</si>
  <si>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</si>
  <si>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</si>
  <si>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</si>
  <si>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</si>
  <si>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</si>
  <si>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</si>
  <si>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</si>
  <si>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</si>
  <si>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</si>
  <si>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</si>
  <si>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</si>
  <si>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</si>
  <si>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</si>
  <si>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</si>
  <si>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</si>
  <si>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</si>
  <si>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</si>
  <si>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</si>
  <si>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</si>
  <si>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</si>
  <si>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</si>
  <si>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</si>
  <si>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</si>
  <si>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</si>
  <si>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</si>
  <si>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</si>
  <si>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</si>
  <si>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</si>
  <si>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</si>
  <si>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</si>
  <si>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</si>
  <si>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</si>
  <si>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</si>
  <si>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</si>
  <si>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</si>
  <si>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</si>
  <si>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</si>
  <si>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</si>
  <si>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</si>
  <si>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</si>
  <si>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</si>
  <si>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</si>
  <si>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</si>
  <si>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</si>
  <si>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</si>
  <si>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</si>
  <si>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</si>
  <si>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</si>
  <si>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</si>
  <si>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</si>
  <si>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</si>
  <si>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</si>
  <si>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</si>
  <si>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</si>
  <si>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</si>
  <si>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</si>
  <si>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</si>
  <si>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</si>
  <si>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</si>
  <si>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</si>
  <si>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</si>
  <si>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</si>
  <si>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</si>
  <si>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</si>
  <si>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</si>
  <si>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</si>
  <si>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</si>
  <si>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</si>
  <si>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</si>
  <si>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</si>
  <si>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</si>
  <si>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</si>
  <si>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</si>
  <si>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</si>
  <si>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</si>
  <si>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</si>
  <si>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</si>
  <si>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</si>
  <si>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</si>
  <si>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</si>
  <si>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</si>
  <si>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</si>
  <si>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</si>
  <si>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</si>
  <si>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</si>
  <si>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</si>
  <si>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</si>
  <si>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</si>
  <si>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</si>
  <si>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</si>
  <si>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</si>
  <si>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</si>
  <si>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</si>
  <si>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</si>
  <si>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</si>
  <si>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</si>
  <si>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</si>
  <si>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</si>
  <si>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</si>
  <si>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</si>
  <si>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</si>
  <si>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</si>
  <si>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</si>
  <si>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</si>
  <si>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</si>
  <si>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</si>
  <si>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</si>
  <si>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</si>
  <si>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</si>
  <si>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</si>
  <si>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</si>
  <si>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</si>
  <si>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</si>
  <si>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</si>
  <si>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</si>
  <si>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</si>
  <si>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</si>
  <si>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</si>
  <si>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</si>
  <si>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</si>
  <si>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</si>
  <si>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</si>
  <si>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</si>
  <si>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</si>
  <si>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</si>
  <si>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</si>
  <si>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</si>
  <si>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</si>
  <si>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</si>
  <si>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</si>
  <si>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</si>
  <si>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</si>
  <si>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</si>
  <si>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</si>
  <si>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</si>
  <si>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</si>
  <si>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</si>
  <si>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</si>
  <si>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</si>
  <si>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</si>
  <si>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</si>
  <si>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</si>
  <si>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</si>
  <si>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</si>
  <si>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</si>
  <si>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</si>
  <si>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</si>
  <si>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</si>
  <si>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</si>
  <si>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</si>
  <si>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</si>
  <si>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</si>
  <si>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</si>
  <si>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</si>
  <si>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</si>
  <si>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</si>
  <si>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</si>
  <si>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</si>
  <si>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</si>
  <si>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</si>
  <si>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</si>
  <si>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</si>
  <si>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</si>
  <si>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</si>
  <si>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</si>
  <si>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</si>
  <si>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</si>
  <si>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</si>
  <si>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</si>
  <si>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</si>
  <si>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</si>
  <si>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</si>
  <si>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</si>
  <si>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</si>
  <si>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</si>
  <si>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</si>
  <si>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</si>
  <si>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</si>
  <si>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</si>
  <si>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</si>
  <si>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</si>
  <si>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</si>
  <si>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</si>
  <si>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</si>
  <si>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</si>
  <si>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</si>
  <si>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</si>
  <si>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</si>
  <si>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</si>
  <si>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</si>
  <si>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</si>
  <si>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</si>
  <si>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</si>
  <si>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</si>
  <si>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</si>
  <si>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</si>
  <si>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</si>
  <si>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</si>
  <si>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</si>
  <si>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</si>
  <si>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</si>
  <si>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</si>
  <si>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</si>
  <si>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</si>
  <si>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</si>
  <si>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</si>
  <si>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</si>
  <si>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</si>
  <si>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</si>
  <si>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</si>
  <si>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</si>
  <si>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</si>
  <si>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</si>
  <si>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</si>
  <si>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</si>
  <si>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</si>
  <si>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</si>
  <si>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</si>
  <si>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</si>
  <si>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</si>
  <si>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</si>
  <si>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</si>
  <si>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</si>
  <si>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</si>
  <si>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</si>
  <si>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</si>
  <si>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</si>
  <si>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</si>
  <si>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</si>
  <si>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</si>
  <si>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</si>
  <si>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</si>
  <si>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</si>
  <si>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</si>
  <si>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</si>
  <si>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</si>
  <si>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</si>
  <si>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</si>
  <si>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</si>
  <si>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</si>
  <si>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</si>
  <si>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</si>
  <si>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</si>
  <si>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</si>
  <si>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</si>
  <si>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</si>
  <si>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</si>
  <si>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</si>
  <si>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</si>
  <si>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</si>
  <si>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</si>
  <si>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</si>
  <si>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</si>
  <si>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</si>
  <si>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</si>
  <si>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</si>
  <si>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</si>
  <si>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</si>
  <si>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</si>
  <si>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</si>
  <si>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</si>
  <si>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</si>
  <si>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</si>
  <si>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</si>
  <si>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</si>
  <si>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</si>
  <si>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</si>
  <si>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</si>
  <si>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</si>
  <si>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</si>
  <si>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</si>
  <si>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</si>
  <si>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</si>
  <si>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</si>
  <si>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</si>
  <si>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</si>
  <si>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</si>
  <si>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</si>
  <si>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</si>
  <si>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</si>
  <si>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</si>
  <si>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</si>
  <si>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</si>
  <si>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</si>
  <si>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</si>
  <si>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</si>
  <si>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</si>
  <si>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</si>
  <si>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</si>
  <si>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</si>
  <si>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</si>
  <si>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</si>
  <si>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</si>
  <si>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</si>
  <si>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</si>
  <si>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</si>
  <si>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</si>
  <si>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</si>
  <si>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</si>
  <si>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</si>
  <si>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</si>
  <si>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</si>
  <si>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</si>
  <si>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</si>
  <si>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</si>
  <si>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</si>
  <si>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</si>
  <si>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</si>
  <si>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</si>
  <si>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</si>
  <si>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</si>
  <si>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</si>
  <si>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</si>
  <si>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</si>
  <si>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</si>
  <si>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</si>
  <si>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</si>
  <si>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</si>
  <si>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</si>
  <si>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</si>
  <si>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</si>
  <si>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</si>
  <si>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</si>
  <si>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</si>
  <si>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</si>
  <si>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</si>
  <si>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</si>
  <si>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</si>
  <si>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</si>
  <si>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</si>
  <si>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</si>
  <si>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</si>
  <si>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</si>
  <si>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</si>
  <si>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</si>
  <si>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</si>
  <si>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</si>
  <si>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</si>
  <si>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</si>
  <si>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</si>
  <si>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</si>
  <si>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</si>
  <si>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</si>
  <si>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</si>
  <si>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</si>
  <si>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</si>
  <si>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</si>
  <si>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</si>
  <si>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</si>
  <si>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</si>
  <si>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</si>
  <si>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</si>
  <si>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</si>
  <si>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</si>
  <si>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</si>
  <si>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</si>
  <si>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</si>
  <si>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</si>
  <si>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</si>
  <si>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</si>
  <si>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</si>
  <si>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</si>
  <si>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</si>
  <si>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</si>
  <si>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</si>
  <si>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</si>
  <si>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</si>
  <si>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</si>
  <si>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</si>
  <si>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</si>
  <si>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</si>
  <si>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</si>
  <si>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</si>
  <si>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</si>
  <si>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</si>
  <si>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</si>
  <si>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</si>
  <si>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</si>
  <si>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</si>
  <si>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</si>
  <si>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</si>
  <si>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</si>
  <si>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</si>
  <si>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</si>
  <si>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</si>
  <si>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</si>
  <si>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</si>
  <si>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</si>
  <si>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</si>
  <si>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</si>
  <si>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</si>
  <si>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</si>
  <si>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</si>
  <si>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</si>
  <si>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</si>
  <si>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</si>
  <si>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</si>
  <si>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</si>
  <si>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</si>
  <si>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</si>
  <si>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</si>
  <si>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</si>
  <si>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</si>
  <si>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</si>
  <si>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</si>
  <si>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</si>
  <si>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</si>
  <si>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</si>
  <si>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</si>
  <si>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</si>
  <si>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</si>
  <si>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</si>
  <si>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</si>
  <si>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</si>
  <si>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</si>
  <si>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</si>
  <si>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</si>
  <si>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</si>
  <si>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</si>
  <si>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</si>
  <si>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</si>
  <si>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</si>
  <si>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</si>
  <si>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</si>
  <si>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</si>
  <si>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</si>
  <si>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</si>
  <si>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</si>
  <si>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</si>
  <si>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</si>
  <si>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</si>
  <si>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</si>
  <si>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</si>
  <si>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</si>
  <si>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</si>
  <si>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</si>
  <si>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</si>
  <si>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</si>
  <si>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</si>
  <si>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</si>
  <si>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</si>
  <si>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</si>
  <si>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</si>
  <si>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</si>
  <si>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</si>
  <si>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</si>
  <si>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</si>
  <si>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</si>
  <si>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</si>
  <si>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</si>
  <si>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</si>
  <si>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</si>
  <si>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</si>
  <si>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</si>
  <si>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</si>
  <si>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</si>
  <si>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</si>
  <si>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</si>
  <si>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</si>
  <si>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</si>
  <si>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</si>
  <si>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</si>
  <si>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</si>
  <si>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</si>
  <si>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</si>
  <si>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</si>
  <si>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</si>
  <si>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</si>
  <si>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</si>
  <si>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</si>
  <si>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</si>
  <si>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</si>
  <si>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</si>
  <si>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</si>
  <si>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</si>
  <si>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</si>
  <si>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</si>
  <si>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</si>
  <si>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</si>
  <si>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</si>
  <si>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</si>
  <si>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</si>
  <si>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</si>
  <si>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</si>
  <si>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</si>
  <si>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</si>
  <si>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</si>
  <si>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</si>
  <si>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</si>
  <si>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</si>
  <si>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</si>
  <si>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</si>
  <si>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</si>
  <si>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</si>
  <si>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</si>
  <si>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</si>
  <si>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</si>
  <si>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</si>
  <si>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</si>
  <si>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</si>
  <si>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</si>
  <si>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</si>
  <si>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</si>
  <si>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</si>
  <si>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</si>
  <si>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</si>
  <si>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</si>
  <si>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</si>
  <si>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</si>
  <si>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</si>
  <si>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</si>
  <si>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</si>
  <si>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</si>
  <si>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</si>
  <si>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</si>
  <si>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</si>
  <si>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</si>
  <si>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</si>
  <si>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</si>
  <si>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</si>
  <si>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</si>
  <si>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</si>
  <si>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</si>
  <si>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</si>
  <si>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</si>
  <si>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</si>
  <si>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</si>
  <si>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</si>
  <si>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</si>
  <si>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</si>
  <si>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</si>
  <si>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</si>
  <si>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</si>
  <si>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</si>
  <si>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</si>
  <si>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</si>
  <si>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</si>
  <si>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</si>
  <si>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</si>
  <si>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</si>
  <si>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</si>
  <si>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</si>
  <si>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</si>
  <si>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</si>
  <si>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</si>
  <si>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</si>
  <si>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</si>
  <si>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</si>
  <si>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</si>
  <si>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</si>
  <si>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</si>
  <si>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</si>
  <si>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</si>
  <si>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</si>
  <si>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</si>
  <si>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</si>
  <si>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</si>
  <si>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</si>
  <si>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</si>
  <si>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</si>
  <si>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</si>
  <si>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</si>
  <si>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</si>
  <si>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</si>
  <si>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</si>
  <si>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</si>
  <si>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</si>
  <si>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</si>
  <si>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</si>
  <si>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</si>
  <si>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</si>
  <si>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</si>
  <si>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</si>
  <si>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</si>
  <si>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</si>
  <si>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</si>
  <si>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</si>
  <si>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</si>
  <si>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</si>
  <si>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</si>
  <si>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</si>
  <si>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</si>
  <si>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</si>
  <si>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</si>
  <si>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</si>
  <si>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</si>
  <si>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</si>
  <si>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</si>
  <si>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</si>
  <si>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</si>
  <si>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</si>
  <si>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</si>
  <si>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</si>
  <si>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</si>
  <si>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</si>
  <si>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</si>
  <si>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</si>
  <si>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</si>
  <si>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</si>
  <si>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</si>
  <si>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</si>
  <si>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</si>
  <si>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</si>
  <si>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</si>
  <si>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</si>
  <si>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</si>
  <si>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</si>
  <si>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</si>
  <si>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</si>
  <si>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</si>
  <si>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</si>
  <si>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</si>
  <si>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</si>
  <si>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</si>
  <si>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</si>
  <si>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</si>
  <si>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</si>
  <si>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</si>
  <si>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</si>
  <si>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</si>
  <si>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</si>
  <si>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</si>
  <si>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</si>
  <si>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</si>
  <si>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</si>
  <si>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</si>
  <si>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</si>
  <si>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</si>
  <si>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</si>
  <si>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</si>
  <si>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</si>
  <si>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</si>
  <si>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</si>
  <si>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</si>
  <si>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</si>
  <si>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</si>
  <si>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</si>
  <si>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</si>
  <si>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</si>
  <si>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</si>
  <si>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</si>
  <si>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</si>
  <si>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</si>
  <si>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</si>
  <si>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</si>
  <si>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</si>
  <si>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</si>
  <si>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</si>
  <si>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</si>
  <si>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</si>
  <si>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</si>
  <si>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</si>
  <si>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</si>
  <si>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</si>
  <si>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</si>
  <si>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</si>
  <si>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</si>
  <si>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</si>
  <si>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</si>
  <si>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</si>
  <si>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</si>
  <si>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</si>
  <si>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</si>
  <si>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</si>
  <si>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</si>
  <si>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</si>
  <si>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</si>
  <si>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</si>
  <si>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</si>
  <si>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</si>
  <si>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</si>
  <si>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</si>
  <si>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</si>
  <si>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</si>
  <si>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</si>
  <si>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</si>
  <si>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</si>
  <si>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</si>
  <si>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</si>
  <si>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</si>
  <si>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</si>
  <si>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</si>
  <si>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</si>
  <si>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</si>
  <si>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</si>
  <si>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</si>
  <si>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</si>
  <si>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</si>
  <si>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</si>
  <si>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</si>
  <si>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</si>
  <si>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</si>
  <si>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</si>
  <si>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</si>
  <si>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</si>
  <si>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</si>
  <si>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</si>
  <si>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</si>
  <si>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</si>
  <si>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</si>
  <si>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</si>
  <si>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</si>
  <si>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</si>
  <si>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</si>
  <si>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</si>
  <si>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</si>
  <si>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</si>
  <si>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</si>
  <si>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</si>
  <si>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</si>
  <si>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</si>
  <si>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</si>
  <si>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</si>
  <si>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</si>
  <si>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</si>
  <si>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</si>
  <si>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</si>
  <si>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</si>
  <si>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</si>
  <si>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</si>
  <si>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</si>
  <si>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</si>
  <si>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</si>
  <si>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</si>
  <si>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</si>
  <si>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</si>
  <si>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</si>
  <si>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</si>
  <si>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</si>
  <si>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</si>
  <si>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</si>
  <si>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</si>
  <si>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</si>
  <si>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</si>
  <si>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</si>
  <si>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</si>
  <si>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</si>
  <si>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</si>
  <si>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</si>
  <si>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</si>
  <si>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</si>
  <si>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</si>
  <si>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</si>
  <si>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</si>
  <si>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</si>
  <si>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</si>
  <si>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</si>
  <si>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</si>
  <si>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</si>
  <si>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</si>
  <si>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</si>
  <si>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</si>
  <si>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</si>
  <si>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</si>
  <si>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</si>
  <si>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</si>
  <si>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</si>
  <si>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</si>
  <si>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</si>
  <si>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</si>
  <si>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</si>
  <si>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</si>
  <si>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</si>
  <si>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</si>
  <si>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</si>
  <si>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</si>
  <si>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</si>
  <si>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</si>
  <si>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</si>
  <si>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</si>
  <si>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</si>
  <si>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زاگرس به وغدیر</t>
  </si>
  <si>
    <t>پارس به وغدیر</t>
  </si>
  <si>
    <t>پارس به زاگرس</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</si>
  <si>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</si>
  <si>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</si>
  <si>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</si>
  <si>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</si>
  <si>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</si>
  <si>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</si>
  <si>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</si>
  <si>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</si>
  <si>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</si>
  <si>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</si>
  <si>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</si>
  <si>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</si>
  <si>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</si>
  <si>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</si>
  <si>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</si>
  <si>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</si>
  <si>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</si>
  <si>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</si>
  <si>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</si>
  <si>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</si>
  <si>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</si>
  <si>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</si>
  <si>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</si>
  <si>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</si>
  <si>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</si>
  <si>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</si>
  <si>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</si>
  <si>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</si>
  <si>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</si>
  <si>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</si>
  <si>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</si>
  <si>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</si>
  <si>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</si>
  <si>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</si>
  <si>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</si>
  <si>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</si>
  <si>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</si>
  <si>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</si>
  <si>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</si>
  <si>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</si>
  <si>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</si>
  <si>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</si>
  <si>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</si>
  <si>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</si>
  <si>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</si>
  <si>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</si>
  <si>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</si>
  <si>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</si>
  <si>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</si>
  <si>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</si>
  <si>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</si>
  <si>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</si>
  <si>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</si>
  <si>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</si>
  <si>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</si>
  <si>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</si>
  <si>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</si>
  <si>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</si>
  <si>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</si>
  <si>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</si>
  <si>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</si>
  <si>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</si>
  <si>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</si>
  <si>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</si>
  <si>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</si>
  <si>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</si>
  <si>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</si>
  <si>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</si>
  <si>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</si>
  <si>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</si>
  <si>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</si>
  <si>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</si>
  <si>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</si>
  <si>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</si>
  <si>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</si>
  <si>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</si>
  <si>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</si>
  <si>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</si>
  <si>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</si>
  <si>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</si>
  <si>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</si>
  <si>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</si>
  <si>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</si>
  <si>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</si>
  <si>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</si>
  <si>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</si>
  <si>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</si>
  <si>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</si>
  <si>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</si>
  <si>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</si>
  <si>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</si>
  <si>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</si>
  <si>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</si>
  <si>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</si>
  <si>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</si>
  <si>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</si>
  <si>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</si>
  <si>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</si>
  <si>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</si>
  <si>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</si>
  <si>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</si>
  <si>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</si>
  <si>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</si>
  <si>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</si>
  <si>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</si>
  <si>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</si>
  <si>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</si>
  <si>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</si>
  <si>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</si>
  <si>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</si>
  <si>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</si>
  <si>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</si>
  <si>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</si>
  <si>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</si>
  <si>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</si>
  <si>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</si>
  <si>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</si>
  <si>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</si>
  <si>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</si>
  <si>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</si>
  <si>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</si>
  <si>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</si>
  <si>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</si>
  <si>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</si>
  <si>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</si>
  <si>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</si>
  <si>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</si>
  <si>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</si>
  <si>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</si>
  <si>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</si>
  <si>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</si>
  <si>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</si>
  <si>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</si>
  <si>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</si>
  <si>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</si>
  <si>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</si>
  <si>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</si>
  <si>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</si>
  <si>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</si>
  <si>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</si>
  <si>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</si>
  <si>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</si>
  <si>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</si>
  <si>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</si>
  <si>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</si>
  <si>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</si>
  <si>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</si>
  <si>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</si>
  <si>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</si>
  <si>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</si>
  <si>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</si>
  <si>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</si>
  <si>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</si>
  <si>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</si>
  <si>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</si>
  <si>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</si>
  <si>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</si>
  <si>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</si>
  <si>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</si>
  <si>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</si>
  <si>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</si>
  <si>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</si>
  <si>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</si>
  <si>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</si>
  <si>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</si>
  <si>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</si>
  <si>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</si>
  <si>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</si>
  <si>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</si>
  <si>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</si>
  <si>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</si>
  <si>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</si>
  <si>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</si>
  <si>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</si>
  <si>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</si>
  <si>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</si>
  <si>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</si>
  <si>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</si>
  <si>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</si>
  <si>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</si>
  <si>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</si>
  <si>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</si>
  <si>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</si>
  <si>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</si>
  <si>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</si>
  <si>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</si>
  <si>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</si>
  <si>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</si>
  <si>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</si>
  <si>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</si>
  <si>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</si>
  <si>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</si>
  <si>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</si>
  <si>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</si>
  <si>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</si>
  <si>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</si>
  <si>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</si>
  <si>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</si>
  <si>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</si>
  <si>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</si>
  <si>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</si>
  <si>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</si>
  <si>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</si>
  <si>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</si>
  <si>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</si>
  <si>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</si>
  <si>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</si>
  <si>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</si>
  <si>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</si>
  <si>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</si>
  <si>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</si>
  <si>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</si>
  <si>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</si>
  <si>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</si>
  <si>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</si>
  <si>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</si>
  <si>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</si>
  <si>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</si>
  <si>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</si>
  <si>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</si>
  <si>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</si>
  <si>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</si>
  <si>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</si>
  <si>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</si>
  <si>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</si>
  <si>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</si>
  <si>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</si>
  <si>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</si>
  <si>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</si>
  <si>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</si>
  <si>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</si>
  <si>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</si>
  <si>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</si>
  <si>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</si>
  <si>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</si>
  <si>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</si>
  <si>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</si>
  <si>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</si>
  <si>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</si>
  <si>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</si>
  <si>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</si>
  <si>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</si>
  <si>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</si>
  <si>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</si>
  <si>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</si>
  <si>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</si>
  <si>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</si>
  <si>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</si>
  <si>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</si>
  <si>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</si>
  <si>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</si>
  <si>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</si>
  <si>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</si>
  <si>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</si>
  <si>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</si>
  <si>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</si>
  <si>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</si>
  <si>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</si>
  <si>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</si>
  <si>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</si>
  <si>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</si>
  <si>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</si>
  <si>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</si>
  <si>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</si>
  <si>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</si>
  <si>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</si>
  <si>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</si>
  <si>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</si>
  <si>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</si>
  <si>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</si>
  <si>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</si>
  <si>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</si>
  <si>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</si>
  <si>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</si>
  <si>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</si>
  <si>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</si>
  <si>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</si>
  <si>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</si>
  <si>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</si>
  <si>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</si>
  <si>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</si>
  <si>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</si>
  <si>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</si>
  <si>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</si>
  <si>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</si>
  <si>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</si>
  <si>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</si>
  <si>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</si>
  <si>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</si>
  <si>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</si>
  <si>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</si>
  <si>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</si>
  <si>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</si>
  <si>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</si>
  <si>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</si>
  <si>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</si>
  <si>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</si>
  <si>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</si>
  <si>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</si>
  <si>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</si>
  <si>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</si>
  <si>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</si>
  <si>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</si>
  <si>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</si>
  <si>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</si>
  <si>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</si>
  <si>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</si>
  <si>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</si>
  <si>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</si>
  <si>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</si>
  <si>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</si>
  <si>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</si>
  <si>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</si>
  <si>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</si>
  <si>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6/12/1399</t>
  </si>
  <si>
    <t>وغدیر 17544 تا 1135</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</si>
  <si>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</si>
  <si>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</si>
  <si>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</si>
  <si>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</si>
  <si>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</si>
  <si>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</si>
  <si>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</si>
  <si>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</si>
  <si>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</si>
  <si>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</si>
  <si>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</si>
  <si>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</si>
  <si>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</si>
  <si>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</si>
  <si>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</si>
  <si>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</si>
  <si>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</si>
  <si>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</si>
  <si>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ومهان 4541 تا 1260</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</si>
  <si>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</si>
  <si>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</si>
  <si>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</si>
  <si>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</si>
  <si>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</si>
  <si>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</si>
  <si>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</si>
  <si>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</si>
  <si>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</si>
  <si>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</si>
  <si>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</si>
  <si>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</si>
  <si>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</si>
  <si>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</si>
  <si>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</si>
  <si>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</si>
  <si>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</si>
  <si>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</si>
  <si>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</si>
  <si>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</si>
  <si>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</si>
  <si>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</si>
  <si>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</si>
  <si>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</si>
  <si>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وغدیر 9813 تا 1114</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</si>
  <si>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</si>
  <si>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</si>
  <si>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</si>
  <si>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</si>
  <si>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</si>
  <si>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</si>
  <si>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</si>
  <si>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</si>
  <si>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</si>
  <si>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</si>
  <si>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</si>
  <si>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</si>
  <si>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</si>
  <si>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</si>
  <si>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</si>
  <si>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وغدیر 183003 تا 1179.1</t>
  </si>
  <si>
    <t>8/1/1400</t>
  </si>
  <si>
    <t>علی واریز</t>
  </si>
  <si>
    <t>ضغدر3002</t>
  </si>
  <si>
    <t>ومهان 49345 تا 1275</t>
  </si>
  <si>
    <t>قیمت آپشن</t>
  </si>
  <si>
    <t>قیمت اعمال</t>
  </si>
  <si>
    <t>ضخود 2009</t>
  </si>
  <si>
    <t>10/1/1400</t>
  </si>
  <si>
    <t>ومهان 1455 تا 1419.5</t>
  </si>
  <si>
    <t>ضخود2009 1000 تا 2.1</t>
  </si>
  <si>
    <t>بدهی به مهدی بابت اعتبار 31/1/1400</t>
  </si>
  <si>
    <t>موجودی نقدی حساب مهدی</t>
  </si>
  <si>
    <t>سهام موجود بابت اعتبار 13/1/1400</t>
  </si>
  <si>
    <t>11/1/1400</t>
  </si>
  <si>
    <t>قیمت با کارمزد</t>
  </si>
  <si>
    <t>سود هر سهم وغدیر 1401</t>
  </si>
  <si>
    <t>سایرین</t>
  </si>
  <si>
    <t>پیش بینی سود هر سهم 1399</t>
  </si>
  <si>
    <t>سود هر سهم وغدیر 1399</t>
  </si>
  <si>
    <t>سود هر سهم 1401</t>
  </si>
  <si>
    <t>14/1/1400</t>
  </si>
  <si>
    <t>ضغدر3000</t>
  </si>
  <si>
    <t>15/1/1400</t>
  </si>
  <si>
    <t>قیمت سر به سر</t>
  </si>
  <si>
    <t>پارس 189 تا 15145</t>
  </si>
  <si>
    <t>16/1/1400</t>
  </si>
  <si>
    <t>ضغدر3002 30000 تا 410</t>
  </si>
  <si>
    <t>ومهان 2935 تا 1359</t>
  </si>
  <si>
    <t>17/1/1400</t>
  </si>
  <si>
    <t>18/1/1400</t>
  </si>
  <si>
    <t>طلا</t>
  </si>
  <si>
    <t>پارس 632 تا 14698</t>
  </si>
  <si>
    <t>ومهان 1289 تا 1301.1</t>
  </si>
  <si>
    <t>طلا 5041 تا 7722</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</si>
  <si>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</si>
  <si>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</si>
  <si>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</si>
  <si>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</si>
  <si>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</si>
  <si>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</si>
  <si>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</si>
  <si>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</si>
  <si>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</si>
  <si>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</si>
  <si>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</si>
  <si>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</si>
  <si>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</si>
  <si>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</si>
  <si>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</si>
  <si>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</si>
  <si>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</si>
  <si>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</si>
  <si>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</si>
  <si>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</si>
  <si>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</si>
  <si>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</si>
  <si>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</si>
  <si>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</si>
  <si>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</si>
  <si>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</si>
  <si>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</si>
  <si>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</si>
  <si>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</si>
  <si>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</si>
  <si>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</si>
  <si>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</si>
  <si>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ضغدر3000 27000 تا 490</t>
  </si>
  <si>
    <t>24/1/1400</t>
  </si>
  <si>
    <t>پارس 264 تا 14780</t>
  </si>
  <si>
    <t>پارسان 754 تا 1976</t>
  </si>
  <si>
    <t>ومهان 59423 تا 1274.1</t>
  </si>
  <si>
    <t>وغدیر 17228 تا 1170</t>
  </si>
  <si>
    <t>حساب مهدی</t>
  </si>
  <si>
    <t>25/1/1400</t>
  </si>
  <si>
    <t>بابت تسفیه بخشی از اعتبار 400 میلیونی مانده 130</t>
  </si>
  <si>
    <t>ظرفشویی ال جی 25/1/1400</t>
  </si>
  <si>
    <t>واریز مریم به بورس علی 24/1/1400</t>
  </si>
  <si>
    <t>ومهان 110 تا 1278</t>
  </si>
  <si>
    <t>ومهان 100 تا 1279</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</si>
  <si>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</si>
  <si>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</si>
  <si>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</si>
  <si>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</si>
  <si>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</si>
  <si>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</si>
  <si>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</si>
  <si>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</si>
  <si>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</si>
  <si>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</si>
  <si>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</si>
  <si>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</si>
  <si>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</si>
  <si>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</si>
  <si>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</si>
  <si>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</si>
  <si>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</si>
  <si>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</si>
  <si>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</si>
  <si>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</si>
  <si>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</si>
  <si>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</si>
  <si>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</si>
  <si>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</si>
  <si>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</si>
  <si>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</si>
  <si>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</si>
  <si>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</si>
  <si>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</si>
  <si>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</si>
  <si>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</si>
  <si>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</si>
  <si>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</si>
  <si>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</si>
  <si>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</si>
  <si>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</si>
  <si>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</si>
  <si>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</si>
  <si>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</si>
  <si>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</si>
  <si>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</si>
  <si>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</si>
  <si>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</si>
  <si>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</si>
  <si>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</si>
  <si>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</si>
  <si>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</si>
  <si>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</si>
  <si>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</si>
  <si>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</si>
  <si>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</si>
  <si>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</si>
  <si>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</si>
  <si>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</si>
  <si>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</si>
  <si>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</si>
  <si>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</si>
  <si>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</si>
  <si>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</si>
  <si>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</si>
  <si>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</si>
  <si>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</si>
  <si>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</si>
  <si>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</si>
  <si>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</si>
  <si>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</si>
  <si>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</si>
  <si>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</si>
  <si>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</si>
  <si>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</si>
  <si>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</si>
  <si>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</si>
  <si>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</si>
  <si>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</si>
  <si>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</si>
  <si>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</si>
  <si>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</si>
  <si>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</si>
  <si>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</si>
  <si>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</si>
  <si>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</si>
  <si>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</si>
  <si>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</si>
  <si>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</si>
  <si>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</si>
  <si>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</si>
  <si>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</si>
  <si>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</si>
  <si>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</si>
  <si>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</si>
  <si>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</si>
  <si>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</si>
  <si>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</si>
  <si>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</si>
  <si>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</si>
  <si>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</si>
  <si>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</si>
  <si>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</si>
  <si>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</si>
  <si>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</si>
  <si>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</si>
  <si>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</si>
  <si>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</si>
  <si>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</si>
  <si>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</si>
  <si>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</si>
  <si>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</si>
  <si>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</si>
  <si>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</si>
  <si>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</si>
  <si>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</si>
  <si>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</si>
  <si>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</si>
  <si>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</si>
  <si>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</si>
  <si>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</si>
  <si>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</si>
  <si>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</si>
  <si>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</si>
  <si>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</si>
  <si>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</si>
  <si>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</si>
  <si>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</si>
  <si>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</si>
  <si>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</si>
  <si>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</si>
  <si>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</si>
  <si>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</si>
  <si>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</si>
  <si>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</si>
  <si>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</si>
  <si>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</si>
  <si>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</si>
  <si>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</si>
  <si>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</si>
  <si>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</si>
  <si>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</si>
  <si>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</si>
  <si>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</si>
  <si>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</si>
  <si>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</si>
  <si>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</si>
  <si>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</si>
  <si>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</si>
  <si>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</si>
  <si>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</si>
  <si>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</si>
  <si>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</si>
  <si>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</si>
  <si>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</si>
  <si>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</si>
  <si>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</si>
  <si>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</si>
  <si>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</si>
  <si>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</si>
  <si>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</si>
  <si>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</si>
  <si>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</si>
  <si>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</si>
  <si>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</si>
  <si>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</si>
  <si>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</si>
  <si>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</si>
  <si>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</si>
  <si>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</si>
  <si>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</si>
  <si>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</si>
  <si>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</si>
  <si>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</si>
  <si>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</si>
  <si>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</si>
  <si>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</si>
  <si>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</si>
  <si>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</si>
  <si>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</si>
  <si>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</si>
  <si>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</si>
  <si>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</si>
  <si>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</si>
  <si>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</si>
  <si>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</si>
  <si>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</si>
  <si>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</si>
  <si>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</si>
  <si>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</si>
  <si>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</si>
  <si>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</si>
  <si>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</si>
  <si>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</si>
  <si>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</si>
  <si>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</si>
  <si>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</si>
  <si>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</si>
  <si>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</si>
  <si>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</si>
  <si>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</si>
  <si>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</si>
  <si>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</si>
  <si>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</si>
  <si>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</si>
  <si>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</si>
  <si>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</si>
  <si>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</si>
  <si>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</si>
  <si>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</si>
  <si>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</si>
  <si>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</si>
  <si>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</si>
  <si>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</si>
  <si>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</si>
  <si>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</si>
  <si>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</si>
  <si>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</si>
  <si>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</si>
  <si>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</si>
  <si>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</si>
  <si>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</si>
  <si>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</si>
  <si>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</si>
  <si>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</si>
  <si>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</si>
  <si>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</si>
  <si>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</si>
  <si>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</si>
  <si>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</si>
  <si>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</si>
  <si>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</si>
  <si>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</si>
  <si>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</si>
  <si>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</si>
  <si>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</si>
  <si>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</si>
  <si>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</si>
  <si>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</si>
  <si>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</si>
  <si>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</si>
  <si>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</si>
  <si>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</si>
  <si>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</si>
  <si>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</si>
  <si>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</si>
  <si>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</si>
  <si>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</si>
  <si>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</si>
  <si>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</si>
  <si>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</si>
  <si>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</si>
  <si>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</si>
  <si>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</si>
  <si>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</si>
  <si>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</si>
  <si>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</si>
  <si>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</si>
  <si>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</si>
  <si>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</si>
  <si>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</si>
  <si>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</si>
  <si>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</si>
  <si>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</si>
  <si>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</si>
  <si>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</si>
  <si>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</si>
  <si>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</si>
  <si>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</si>
  <si>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</si>
  <si>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</si>
  <si>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</si>
  <si>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</si>
  <si>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</si>
  <si>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</si>
  <si>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</si>
  <si>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</si>
  <si>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</si>
  <si>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</si>
  <si>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</si>
  <si>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</si>
  <si>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</si>
  <si>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</si>
  <si>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</si>
  <si>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</si>
  <si>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</si>
  <si>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</si>
  <si>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</si>
  <si>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</si>
  <si>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</si>
  <si>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</si>
  <si>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</si>
  <si>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</si>
  <si>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</si>
  <si>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</si>
  <si>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</si>
  <si>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</si>
  <si>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</si>
  <si>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</si>
  <si>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</si>
  <si>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</si>
  <si>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</si>
  <si>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</si>
  <si>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</si>
  <si>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</si>
  <si>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</si>
  <si>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</si>
  <si>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</si>
  <si>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</si>
  <si>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</si>
  <si>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</si>
  <si>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</si>
  <si>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</si>
  <si>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</si>
  <si>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</si>
  <si>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</si>
  <si>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</si>
  <si>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</si>
  <si>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</si>
  <si>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</si>
  <si>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</si>
  <si>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</si>
  <si>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</si>
  <si>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</si>
  <si>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</si>
  <si>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</si>
  <si>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</si>
  <si>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</si>
  <si>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</si>
  <si>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</si>
  <si>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</si>
  <si>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</si>
  <si>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</si>
  <si>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</si>
  <si>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</si>
  <si>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</si>
  <si>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</si>
  <si>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</si>
  <si>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</si>
  <si>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</si>
  <si>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</si>
  <si>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</si>
  <si>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</si>
  <si>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</si>
  <si>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</si>
  <si>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</si>
  <si>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</si>
  <si>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</si>
  <si>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</si>
  <si>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</si>
  <si>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</si>
  <si>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</si>
  <si>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</si>
  <si>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</si>
  <si>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</si>
  <si>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</si>
  <si>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</si>
  <si>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</si>
  <si>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</si>
  <si>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</si>
  <si>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</si>
  <si>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</si>
  <si>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</si>
  <si>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</si>
  <si>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</si>
  <si>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</si>
  <si>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</si>
  <si>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</si>
  <si>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</si>
  <si>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</si>
  <si>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</si>
  <si>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</si>
  <si>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</si>
  <si>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</si>
  <si>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</si>
  <si>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</si>
  <si>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</si>
  <si>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</si>
  <si>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</si>
  <si>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</si>
  <si>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</si>
  <si>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</si>
  <si>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</si>
  <si>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</si>
  <si>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</si>
  <si>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</si>
  <si>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</si>
  <si>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</si>
  <si>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</si>
  <si>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</si>
  <si>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</si>
  <si>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</si>
  <si>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</si>
  <si>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</si>
  <si>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</si>
  <si>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</si>
  <si>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</si>
  <si>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</si>
  <si>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</si>
  <si>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</si>
  <si>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</si>
  <si>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</si>
  <si>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</si>
  <si>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</si>
  <si>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</si>
  <si>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</si>
  <si>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</si>
  <si>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</si>
  <si>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</si>
  <si>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</si>
  <si>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</si>
  <si>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</si>
  <si>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</si>
  <si>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</si>
  <si>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</si>
  <si>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</si>
  <si>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</si>
  <si>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</si>
  <si>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</si>
  <si>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</si>
  <si>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</si>
  <si>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</si>
  <si>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</si>
  <si>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</si>
  <si>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</si>
  <si>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</si>
  <si>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</si>
  <si>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</si>
  <si>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</si>
  <si>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</si>
  <si>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</si>
  <si>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</si>
  <si>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</si>
  <si>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</si>
  <si>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</si>
  <si>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</si>
  <si>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</si>
  <si>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</si>
  <si>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</si>
  <si>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</si>
  <si>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</si>
  <si>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</si>
  <si>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</si>
  <si>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</si>
  <si>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</si>
  <si>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</si>
  <si>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</si>
  <si>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</si>
  <si>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</si>
  <si>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</si>
  <si>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</si>
  <si>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</si>
  <si>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</si>
  <si>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</si>
  <si>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</si>
  <si>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</si>
  <si>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</si>
  <si>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</si>
  <si>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</si>
  <si>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</si>
  <si>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</si>
  <si>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</si>
  <si>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</si>
  <si>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</si>
  <si>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</si>
  <si>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</si>
  <si>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</si>
  <si>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</si>
  <si>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</si>
  <si>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</si>
  <si>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</si>
  <si>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</si>
  <si>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</si>
  <si>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</si>
  <si>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</si>
  <si>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</si>
  <si>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</si>
  <si>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</si>
  <si>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</si>
  <si>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</si>
  <si>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</si>
  <si>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</si>
  <si>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</si>
  <si>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</si>
  <si>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</si>
  <si>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</si>
  <si>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</si>
  <si>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</si>
  <si>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</si>
  <si>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</si>
  <si>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</si>
  <si>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</si>
  <si>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</si>
  <si>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</si>
  <si>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</si>
  <si>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</si>
  <si>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</si>
  <si>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</si>
  <si>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</si>
  <si>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</si>
  <si>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</si>
  <si>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</si>
  <si>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</si>
  <si>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</si>
  <si>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</si>
  <si>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</si>
  <si>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</si>
  <si>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</si>
  <si>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</si>
  <si>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</si>
  <si>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</si>
  <si>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</si>
  <si>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</si>
  <si>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</si>
  <si>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</si>
  <si>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</si>
  <si>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</si>
  <si>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</si>
  <si>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</si>
  <si>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</si>
  <si>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</si>
  <si>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</si>
  <si>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</si>
  <si>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</si>
  <si>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</si>
  <si>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</si>
  <si>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</si>
  <si>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</si>
  <si>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</si>
  <si>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</si>
  <si>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</si>
  <si>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</si>
  <si>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28/1/1400</t>
  </si>
  <si>
    <t>ومهان 3932 تا 1255</t>
  </si>
  <si>
    <t>طلا 600 تا 7450</t>
  </si>
  <si>
    <t>29/1/1400</t>
  </si>
  <si>
    <t>پارس 413 تا 14292</t>
  </si>
  <si>
    <t>اعتبار مریم</t>
  </si>
  <si>
    <t>طلب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</si>
</sst>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
      <patternFill patternType="solid">
        <fgColor theme="9" tint="-0.249977111117893"/>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4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0" fillId="44" borderId="1" xfId="0" applyFill="1" applyBorder="1"/>
    <xf numFmtId="164" fontId="16" fillId="8" borderId="1" xfId="0" applyNumberFormat="1" applyFont="1" applyFill="1" applyBorder="1" applyAlignment="1">
      <alignment horizontal="center"/>
    </xf>
    <xf numFmtId="164" fontId="16" fillId="44" borderId="1" xfId="0" applyNumberFormat="1" applyFont="1" applyFill="1" applyBorder="1" applyAlignment="1">
      <alignment horizontal="center"/>
    </xf>
    <xf numFmtId="16" fontId="0" fillId="8" borderId="1" xfId="0" applyNumberFormat="1" applyFill="1" applyBorder="1"/>
    <xf numFmtId="164" fontId="0" fillId="41" borderId="1" xfId="0" applyNumberFormat="1" applyFill="1" applyBorder="1"/>
    <xf numFmtId="164" fontId="16" fillId="2" borderId="1" xfId="0" applyNumberFormat="1" applyFont="1" applyFill="1" applyBorder="1" applyAlignment="1">
      <alignment horizontal="center"/>
    </xf>
    <xf numFmtId="16" fontId="0" fillId="44" borderId="1" xfId="0" applyNumberFormat="1" applyFill="1" applyBorder="1"/>
    <xf numFmtId="4" fontId="0" fillId="2" borderId="1" xfId="0" applyNumberFormat="1" applyFill="1" applyBorder="1"/>
    <xf numFmtId="0" fontId="0" fillId="45" borderId="1" xfId="0" applyFill="1" applyBorder="1"/>
    <xf numFmtId="164" fontId="16" fillId="45" borderId="1" xfId="0" applyNumberFormat="1" applyFont="1" applyFill="1" applyBorder="1" applyAlignment="1">
      <alignment horizontal="center"/>
    </xf>
    <xf numFmtId="0" fontId="0" fillId="20" borderId="1" xfId="0" applyFill="1" applyBorder="1" applyAlignment="1">
      <alignment wrapText="1"/>
    </xf>
    <xf numFmtId="164" fontId="0" fillId="8" borderId="1" xfId="0" applyNumberFormat="1" applyFill="1" applyBorder="1"/>
    <xf numFmtId="164" fontId="0" fillId="5" borderId="1" xfId="0" applyNumberFormat="1" applyFill="1" applyBorder="1"/>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41" borderId="1" xfId="0" applyNumberFormat="1" applyFill="1" applyBorder="1" applyAlignment="1">
      <alignment horizontal="center" vertical="center"/>
    </xf>
    <xf numFmtId="0" fontId="0" fillId="41"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9"/>
  <sheetViews>
    <sheetView topLeftCell="A119" zoomScale="80" zoomScaleNormal="80" workbookViewId="0">
      <selection activeCell="C139" sqref="C139"/>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6" max="16" width="34.140625" bestFit="1" customWidth="1"/>
    <col min="17" max="17" width="7.140625" bestFit="1" customWidth="1"/>
    <col min="18" max="18" width="14.140625" bestFit="1" customWidth="1"/>
    <col min="19" max="19" width="19.28515625" bestFit="1" customWidth="1"/>
    <col min="20" max="20" width="7" bestFit="1" customWidth="1"/>
    <col min="21" max="21" width="17" bestFit="1" customWidth="1"/>
    <col min="22" max="23" width="12" bestFit="1" customWidth="1"/>
    <col min="24" max="24" width="16.140625" bestFit="1" customWidth="1"/>
    <col min="25" max="25" width="17" bestFit="1" customWidth="1"/>
  </cols>
  <sheetData>
    <row r="1" spans="1:14">
      <c r="A1" s="166" t="s">
        <v>180</v>
      </c>
      <c r="B1" s="166" t="s">
        <v>4488</v>
      </c>
      <c r="C1" s="166" t="s">
        <v>935</v>
      </c>
      <c r="D1" s="166" t="s">
        <v>922</v>
      </c>
      <c r="E1" s="166" t="s">
        <v>4488</v>
      </c>
      <c r="F1" s="166" t="s">
        <v>935</v>
      </c>
      <c r="G1" s="166" t="s">
        <v>922</v>
      </c>
      <c r="H1" s="166" t="s">
        <v>4572</v>
      </c>
      <c r="I1" s="221" t="s">
        <v>4573</v>
      </c>
      <c r="J1" s="97" t="s">
        <v>8</v>
      </c>
      <c r="K1" s="97"/>
      <c r="L1" s="97"/>
      <c r="M1" s="97"/>
      <c r="N1" s="97"/>
    </row>
    <row r="2" spans="1:14">
      <c r="A2" s="166" t="s">
        <v>4480</v>
      </c>
      <c r="B2" s="166" t="s">
        <v>4271</v>
      </c>
      <c r="C2" s="111">
        <v>281</v>
      </c>
      <c r="D2" s="166">
        <v>15274</v>
      </c>
      <c r="E2" s="166" t="s">
        <v>4219</v>
      </c>
      <c r="F2" s="111">
        <v>165.5</v>
      </c>
      <c r="G2" s="166">
        <f>C2*D2/F2</f>
        <v>25933.498489425983</v>
      </c>
      <c r="H2" s="166">
        <f t="shared" ref="H2:H33" si="0">C2/F2</f>
        <v>1.6978851963746224</v>
      </c>
      <c r="I2" s="221">
        <f t="shared" ref="I2:I33" si="1">F2/C2</f>
        <v>0.58896797153024916</v>
      </c>
      <c r="J2" s="97"/>
      <c r="K2" s="97"/>
      <c r="L2" s="97"/>
      <c r="M2" s="97"/>
      <c r="N2" s="97"/>
    </row>
    <row r="3" spans="1:14">
      <c r="A3" s="166" t="s">
        <v>4479</v>
      </c>
      <c r="B3" s="166" t="s">
        <v>4271</v>
      </c>
      <c r="C3" s="111">
        <v>289.3</v>
      </c>
      <c r="D3" s="166">
        <v>14073</v>
      </c>
      <c r="E3" s="166" t="s">
        <v>4219</v>
      </c>
      <c r="F3" s="111">
        <v>166.2</v>
      </c>
      <c r="G3" s="166">
        <f>C3*D3/F3</f>
        <v>24496.503610108306</v>
      </c>
      <c r="H3" s="166">
        <f t="shared" si="0"/>
        <v>1.7406738868832734</v>
      </c>
      <c r="I3" s="221">
        <f t="shared" si="1"/>
        <v>0.57449014863463521</v>
      </c>
      <c r="J3" s="97"/>
      <c r="K3" s="97"/>
      <c r="L3" s="97"/>
      <c r="M3" s="97"/>
      <c r="N3" s="97"/>
    </row>
    <row r="4" spans="1:14">
      <c r="A4" s="166" t="s">
        <v>4481</v>
      </c>
      <c r="B4" s="166" t="s">
        <v>4271</v>
      </c>
      <c r="C4" s="111">
        <v>281</v>
      </c>
      <c r="D4" s="166">
        <v>5000</v>
      </c>
      <c r="E4" s="166" t="s">
        <v>4219</v>
      </c>
      <c r="F4" s="111">
        <v>160.19999999999999</v>
      </c>
      <c r="G4" s="166">
        <f>C4*D4/F4</f>
        <v>8770.2871410736589</v>
      </c>
      <c r="H4" s="166">
        <f t="shared" si="0"/>
        <v>1.7540574282147317</v>
      </c>
      <c r="I4" s="221">
        <f t="shared" si="1"/>
        <v>0.57010676156583628</v>
      </c>
      <c r="J4" s="97"/>
      <c r="K4" s="97"/>
      <c r="L4" s="97"/>
      <c r="M4" s="97"/>
      <c r="N4" s="97"/>
    </row>
    <row r="5" spans="1:14">
      <c r="A5" s="166" t="s">
        <v>979</v>
      </c>
      <c r="B5" s="166" t="s">
        <v>4219</v>
      </c>
      <c r="C5" s="111">
        <v>174.7</v>
      </c>
      <c r="D5" s="166">
        <v>13356</v>
      </c>
      <c r="E5" s="166" t="s">
        <v>4271</v>
      </c>
      <c r="F5" s="111">
        <v>284.7</v>
      </c>
      <c r="G5" s="166">
        <f>C5*D5/F5</f>
        <v>8195.6206533192835</v>
      </c>
      <c r="H5" s="166">
        <f t="shared" si="0"/>
        <v>0.61362838075166837</v>
      </c>
      <c r="I5" s="221">
        <f t="shared" si="1"/>
        <v>1.629650829994276</v>
      </c>
      <c r="J5" s="97"/>
      <c r="K5" s="97"/>
      <c r="L5" s="97"/>
      <c r="M5" s="97"/>
      <c r="N5" s="97"/>
    </row>
    <row r="6" spans="1:14">
      <c r="A6" s="166" t="s">
        <v>4562</v>
      </c>
      <c r="B6" s="166" t="s">
        <v>1070</v>
      </c>
      <c r="C6" s="111">
        <v>4183832</v>
      </c>
      <c r="D6" s="166">
        <f t="shared" ref="D6:D19" si="2">F6*G6/C6</f>
        <v>2.132843288162622</v>
      </c>
      <c r="E6" s="189" t="s">
        <v>4357</v>
      </c>
      <c r="F6" s="111">
        <v>3405.9</v>
      </c>
      <c r="G6" s="166">
        <v>2620</v>
      </c>
      <c r="H6" s="189">
        <f t="shared" si="0"/>
        <v>1228.4071757831998</v>
      </c>
      <c r="I6" s="221">
        <f t="shared" si="1"/>
        <v>8.1406232372619174E-4</v>
      </c>
      <c r="J6" s="97"/>
      <c r="K6" s="97"/>
      <c r="L6" s="97"/>
      <c r="M6" s="97"/>
      <c r="N6" s="97"/>
    </row>
    <row r="7" spans="1:14">
      <c r="A7" s="166" t="s">
        <v>4562</v>
      </c>
      <c r="B7" s="166" t="s">
        <v>1070</v>
      </c>
      <c r="C7" s="111">
        <v>4183832</v>
      </c>
      <c r="D7" s="166">
        <f t="shared" si="2"/>
        <v>0.24118578375039915</v>
      </c>
      <c r="E7" s="166" t="s">
        <v>4563</v>
      </c>
      <c r="F7" s="111">
        <v>217.1</v>
      </c>
      <c r="G7" s="166">
        <v>4648</v>
      </c>
      <c r="H7" s="166">
        <f t="shared" si="0"/>
        <v>19271.450944265314</v>
      </c>
      <c r="I7" s="221">
        <f t="shared" si="1"/>
        <v>5.1890228861961954E-5</v>
      </c>
      <c r="J7" s="97"/>
      <c r="K7" s="97"/>
      <c r="L7" s="97"/>
      <c r="M7" s="97"/>
      <c r="N7" s="97"/>
    </row>
    <row r="8" spans="1:14">
      <c r="A8" s="166" t="s">
        <v>4562</v>
      </c>
      <c r="B8" s="166" t="s">
        <v>1070</v>
      </c>
      <c r="C8" s="111">
        <v>4183832</v>
      </c>
      <c r="D8" s="166">
        <f t="shared" si="2"/>
        <v>3.2966189847011065</v>
      </c>
      <c r="E8" s="206" t="s">
        <v>4484</v>
      </c>
      <c r="F8" s="111">
        <v>4500</v>
      </c>
      <c r="G8" s="166">
        <v>3065</v>
      </c>
      <c r="H8" s="206">
        <f t="shared" si="0"/>
        <v>929.74044444444439</v>
      </c>
      <c r="I8" s="221">
        <f t="shared" si="1"/>
        <v>1.0755689999024818E-3</v>
      </c>
      <c r="J8" s="97"/>
      <c r="K8" s="97"/>
      <c r="L8" s="97"/>
      <c r="M8" s="97"/>
      <c r="N8" s="97"/>
    </row>
    <row r="9" spans="1:14">
      <c r="A9" s="166" t="s">
        <v>4567</v>
      </c>
      <c r="B9" s="166" t="s">
        <v>1070</v>
      </c>
      <c r="C9" s="111">
        <v>4186993</v>
      </c>
      <c r="D9" s="166">
        <f t="shared" si="2"/>
        <v>0.95852522323299805</v>
      </c>
      <c r="E9" s="189" t="s">
        <v>4357</v>
      </c>
      <c r="F9" s="111">
        <v>3322.3</v>
      </c>
      <c r="G9" s="166">
        <v>1208</v>
      </c>
      <c r="H9" s="189">
        <f t="shared" si="0"/>
        <v>1260.2693916864821</v>
      </c>
      <c r="I9" s="221">
        <f t="shared" si="1"/>
        <v>7.934811450604288E-4</v>
      </c>
      <c r="J9" s="97"/>
      <c r="K9" s="97"/>
      <c r="L9" s="97"/>
      <c r="M9" s="97"/>
      <c r="N9" s="97"/>
    </row>
    <row r="10" spans="1:14">
      <c r="A10" s="166" t="s">
        <v>4567</v>
      </c>
      <c r="B10" s="166" t="s">
        <v>1070</v>
      </c>
      <c r="C10" s="111">
        <v>4186993</v>
      </c>
      <c r="D10" s="166">
        <f t="shared" si="2"/>
        <v>3.0092622557525175</v>
      </c>
      <c r="E10" s="213" t="s">
        <v>4361</v>
      </c>
      <c r="F10" s="111">
        <v>5249.9</v>
      </c>
      <c r="G10" s="166">
        <v>2400</v>
      </c>
      <c r="H10" s="213">
        <f t="shared" si="0"/>
        <v>797.53766738414072</v>
      </c>
      <c r="I10" s="221">
        <f t="shared" si="1"/>
        <v>1.2538592732302155E-3</v>
      </c>
      <c r="J10" s="97"/>
      <c r="K10" s="97"/>
      <c r="L10" s="97"/>
      <c r="M10" s="97"/>
      <c r="N10" s="97"/>
    </row>
    <row r="11" spans="1:14">
      <c r="A11" s="166" t="s">
        <v>4568</v>
      </c>
      <c r="B11" s="166" t="s">
        <v>1070</v>
      </c>
      <c r="C11" s="111">
        <v>4223698</v>
      </c>
      <c r="D11" s="166">
        <f t="shared" si="2"/>
        <v>11.463347995050782</v>
      </c>
      <c r="E11" s="213" t="s">
        <v>4361</v>
      </c>
      <c r="F11" s="111">
        <v>5330</v>
      </c>
      <c r="G11" s="166">
        <v>9084</v>
      </c>
      <c r="H11" s="213">
        <f t="shared" si="0"/>
        <v>792.43864915572237</v>
      </c>
      <c r="I11" s="221">
        <f t="shared" si="1"/>
        <v>1.2619273442372064E-3</v>
      </c>
      <c r="J11" s="97"/>
      <c r="K11" s="97"/>
      <c r="L11" s="97"/>
      <c r="M11" s="97"/>
      <c r="N11" s="97"/>
    </row>
    <row r="12" spans="1:14">
      <c r="A12" s="166" t="s">
        <v>4568</v>
      </c>
      <c r="B12" s="166" t="s">
        <v>1070</v>
      </c>
      <c r="C12" s="111">
        <v>4223698</v>
      </c>
      <c r="D12" s="166">
        <f t="shared" si="2"/>
        <v>9.4380816762940896</v>
      </c>
      <c r="E12" s="217" t="s">
        <v>4374</v>
      </c>
      <c r="F12" s="111">
        <v>498.9</v>
      </c>
      <c r="G12" s="166">
        <v>79903</v>
      </c>
      <c r="H12" s="217">
        <f t="shared" si="0"/>
        <v>8466.0212467428355</v>
      </c>
      <c r="I12" s="221">
        <f t="shared" si="1"/>
        <v>1.1811924053282217E-4</v>
      </c>
      <c r="J12" s="97"/>
      <c r="K12" s="97"/>
      <c r="L12" s="97"/>
      <c r="M12" s="97"/>
      <c r="N12" s="97"/>
    </row>
    <row r="13" spans="1:14">
      <c r="A13" s="166" t="s">
        <v>4581</v>
      </c>
      <c r="B13" s="166" t="s">
        <v>1070</v>
      </c>
      <c r="C13" s="111">
        <v>4369699</v>
      </c>
      <c r="D13" s="166">
        <f t="shared" si="2"/>
        <v>0.22790475957268452</v>
      </c>
      <c r="E13" s="166" t="s">
        <v>4551</v>
      </c>
      <c r="F13" s="111">
        <v>724.8</v>
      </c>
      <c r="G13" s="166">
        <v>1374</v>
      </c>
      <c r="H13" s="166">
        <f t="shared" si="0"/>
        <v>6028.8341611479036</v>
      </c>
      <c r="I13" s="221">
        <f t="shared" si="1"/>
        <v>1.6586954845173546E-4</v>
      </c>
      <c r="J13" s="97"/>
      <c r="K13" s="97"/>
      <c r="L13" s="97"/>
      <c r="M13" s="97"/>
      <c r="N13" s="97"/>
    </row>
    <row r="14" spans="1:14">
      <c r="A14" s="166" t="s">
        <v>4581</v>
      </c>
      <c r="B14" s="166" t="s">
        <v>1070</v>
      </c>
      <c r="C14" s="111">
        <v>4369699</v>
      </c>
      <c r="D14" s="166">
        <f t="shared" si="2"/>
        <v>8.608136716052984</v>
      </c>
      <c r="E14" s="213" t="s">
        <v>4361</v>
      </c>
      <c r="F14" s="111">
        <v>5393.6</v>
      </c>
      <c r="G14" s="166">
        <v>6974</v>
      </c>
      <c r="H14" s="213">
        <f t="shared" si="0"/>
        <v>810.16371254820524</v>
      </c>
      <c r="I14" s="221">
        <f t="shared" si="1"/>
        <v>1.2343184278825613E-3</v>
      </c>
      <c r="J14" s="97"/>
      <c r="K14" s="97"/>
      <c r="L14" s="97"/>
      <c r="M14" s="97"/>
      <c r="N14" s="97"/>
    </row>
    <row r="15" spans="1:14">
      <c r="A15" s="166" t="s">
        <v>4593</v>
      </c>
      <c r="B15" s="166" t="s">
        <v>1070</v>
      </c>
      <c r="C15" s="111">
        <v>4374000</v>
      </c>
      <c r="D15" s="166">
        <f t="shared" si="2"/>
        <v>2.0343806584362141</v>
      </c>
      <c r="E15" s="213" t="s">
        <v>4361</v>
      </c>
      <c r="F15" s="115">
        <v>5179.5</v>
      </c>
      <c r="G15" s="19">
        <v>1718</v>
      </c>
      <c r="H15" s="213">
        <f t="shared" si="0"/>
        <v>844.48305821025201</v>
      </c>
      <c r="I15" s="221">
        <f t="shared" si="1"/>
        <v>1.184156378600823E-3</v>
      </c>
      <c r="J15" s="97"/>
      <c r="K15" s="97"/>
      <c r="L15" s="97"/>
      <c r="M15" s="97"/>
      <c r="N15" s="97"/>
    </row>
    <row r="16" spans="1:14">
      <c r="A16" s="166" t="s">
        <v>4604</v>
      </c>
      <c r="B16" s="166" t="s">
        <v>1070</v>
      </c>
      <c r="C16" s="111">
        <v>4367053</v>
      </c>
      <c r="D16" s="166">
        <f t="shared" si="2"/>
        <v>2.1370469055447687</v>
      </c>
      <c r="E16" s="189" t="s">
        <v>4357</v>
      </c>
      <c r="F16" s="115">
        <v>3184.1</v>
      </c>
      <c r="G16" s="19">
        <v>2931</v>
      </c>
      <c r="H16" s="189">
        <f t="shared" si="0"/>
        <v>1371.5187965202099</v>
      </c>
      <c r="I16" s="221">
        <f t="shared" si="1"/>
        <v>7.291186985823163E-4</v>
      </c>
      <c r="J16" s="97"/>
      <c r="K16" s="97"/>
      <c r="L16" s="97"/>
      <c r="M16" s="97"/>
      <c r="N16" s="97"/>
    </row>
    <row r="17" spans="1:14">
      <c r="A17" s="208" t="s">
        <v>4604</v>
      </c>
      <c r="B17" s="208" t="s">
        <v>1070</v>
      </c>
      <c r="C17" s="111">
        <v>4367053</v>
      </c>
      <c r="D17" s="208">
        <f t="shared" si="2"/>
        <v>0.12751793944337292</v>
      </c>
      <c r="E17" s="217" t="s">
        <v>4374</v>
      </c>
      <c r="F17" s="115">
        <v>508.1</v>
      </c>
      <c r="G17" s="19">
        <v>1096</v>
      </c>
      <c r="H17" s="217">
        <f t="shared" si="0"/>
        <v>8594.8691202519185</v>
      </c>
      <c r="I17" s="221">
        <f t="shared" si="1"/>
        <v>1.1634848489358842E-4</v>
      </c>
      <c r="J17" s="97"/>
      <c r="K17" s="97"/>
      <c r="L17" s="97"/>
      <c r="M17" s="97"/>
      <c r="N17" s="97"/>
    </row>
    <row r="18" spans="1:14">
      <c r="A18" s="166" t="s">
        <v>4614</v>
      </c>
      <c r="B18" s="166" t="s">
        <v>1070</v>
      </c>
      <c r="C18" s="111">
        <v>4433930</v>
      </c>
      <c r="D18" s="166">
        <f t="shared" si="2"/>
        <v>2.9409688470499082</v>
      </c>
      <c r="E18" s="195" t="s">
        <v>4357</v>
      </c>
      <c r="F18" s="115">
        <v>3180.5</v>
      </c>
      <c r="G18" s="19">
        <v>4100</v>
      </c>
      <c r="H18" s="195">
        <f t="shared" si="0"/>
        <v>1394.0984121993397</v>
      </c>
      <c r="I18" s="221">
        <f t="shared" si="1"/>
        <v>7.1730947489022151E-4</v>
      </c>
      <c r="J18" s="97"/>
      <c r="K18" s="97"/>
      <c r="L18" s="97"/>
      <c r="M18" s="97"/>
      <c r="N18" s="97"/>
    </row>
    <row r="19" spans="1:14">
      <c r="A19" s="166" t="s">
        <v>4614</v>
      </c>
      <c r="B19" s="166" t="s">
        <v>1070</v>
      </c>
      <c r="C19" s="111">
        <v>4433930</v>
      </c>
      <c r="D19" s="166">
        <f t="shared" si="2"/>
        <v>0.13984559972755545</v>
      </c>
      <c r="E19" s="217" t="s">
        <v>4374</v>
      </c>
      <c r="F19" s="115">
        <v>503.3</v>
      </c>
      <c r="G19" s="19">
        <v>1232</v>
      </c>
      <c r="H19" s="217">
        <f t="shared" si="0"/>
        <v>8809.7158752235246</v>
      </c>
      <c r="I19" s="221">
        <f t="shared" si="1"/>
        <v>1.1351103873989892E-4</v>
      </c>
      <c r="J19" s="97"/>
      <c r="K19" s="97"/>
      <c r="L19" s="97"/>
      <c r="M19" s="97"/>
      <c r="N19" s="97"/>
    </row>
    <row r="20" spans="1:14">
      <c r="A20" s="166" t="s">
        <v>4619</v>
      </c>
      <c r="B20" s="166" t="s">
        <v>1070</v>
      </c>
      <c r="C20" s="111">
        <v>4183832</v>
      </c>
      <c r="D20" s="210">
        <v>0.24415416297786335</v>
      </c>
      <c r="E20" s="217" t="s">
        <v>4374</v>
      </c>
      <c r="F20" s="115">
        <v>501.2</v>
      </c>
      <c r="G20" s="19">
        <f>C20*D20/F20</f>
        <v>2038.1085395051875</v>
      </c>
      <c r="H20" s="217">
        <f t="shared" si="0"/>
        <v>8347.6296887470071</v>
      </c>
      <c r="I20" s="221">
        <f t="shared" si="1"/>
        <v>1.1979448505580529E-4</v>
      </c>
      <c r="J20" s="97"/>
      <c r="K20" s="97"/>
      <c r="L20" s="97"/>
      <c r="M20" s="97"/>
      <c r="N20" s="97"/>
    </row>
    <row r="21" spans="1:14">
      <c r="A21" s="210" t="s">
        <v>4621</v>
      </c>
      <c r="B21" s="210" t="s">
        <v>1070</v>
      </c>
      <c r="C21" s="111">
        <v>4183832</v>
      </c>
      <c r="D21" s="210">
        <v>0.23385260211213069</v>
      </c>
      <c r="E21" s="217" t="s">
        <v>4374</v>
      </c>
      <c r="F21" s="115">
        <v>481.7</v>
      </c>
      <c r="G21" s="19">
        <f>C21*D21/F21</f>
        <v>2031.1397135146358</v>
      </c>
      <c r="H21" s="217">
        <f t="shared" si="0"/>
        <v>8685.555324891011</v>
      </c>
      <c r="I21" s="221">
        <f t="shared" si="1"/>
        <v>1.1513368605622787E-4</v>
      </c>
      <c r="J21" s="97"/>
      <c r="K21" s="97"/>
      <c r="L21" s="97"/>
      <c r="M21" s="97"/>
      <c r="N21" s="97"/>
    </row>
    <row r="22" spans="1:14">
      <c r="A22" s="210" t="s">
        <v>4623</v>
      </c>
      <c r="B22" s="210" t="s">
        <v>1070</v>
      </c>
      <c r="C22" s="111">
        <v>4291628</v>
      </c>
      <c r="D22" s="210">
        <f t="shared" ref="D22:D43" si="3">F22*G22/C22</f>
        <v>0.94748414820669458</v>
      </c>
      <c r="E22" s="195" t="s">
        <v>4357</v>
      </c>
      <c r="F22" s="115">
        <v>3115.9</v>
      </c>
      <c r="G22" s="19">
        <v>1305</v>
      </c>
      <c r="H22" s="195">
        <f t="shared" si="0"/>
        <v>1377.3317500561634</v>
      </c>
      <c r="I22" s="221">
        <f t="shared" si="1"/>
        <v>7.2604149287869312E-4</v>
      </c>
      <c r="J22" s="97"/>
      <c r="K22" s="97"/>
      <c r="L22" s="97"/>
      <c r="M22" s="97"/>
      <c r="N22" s="97"/>
    </row>
    <row r="23" spans="1:14">
      <c r="A23" s="166" t="s">
        <v>4623</v>
      </c>
      <c r="B23" s="166" t="s">
        <v>1070</v>
      </c>
      <c r="C23" s="111">
        <v>4291628</v>
      </c>
      <c r="D23" s="210">
        <f t="shared" si="3"/>
        <v>4.7641314671262279E-2</v>
      </c>
      <c r="E23" s="19" t="s">
        <v>4529</v>
      </c>
      <c r="F23" s="115">
        <v>178.1</v>
      </c>
      <c r="G23" s="19">
        <v>1148</v>
      </c>
      <c r="H23" s="19">
        <f t="shared" si="0"/>
        <v>24096.732172936554</v>
      </c>
      <c r="I23" s="221">
        <f t="shared" si="1"/>
        <v>4.1499403023747632E-5</v>
      </c>
      <c r="J23" s="97"/>
      <c r="K23" s="97"/>
      <c r="L23" s="97"/>
      <c r="M23" s="97"/>
      <c r="N23" s="97"/>
    </row>
    <row r="24" spans="1:14">
      <c r="A24" s="210" t="s">
        <v>4633</v>
      </c>
      <c r="B24" s="210" t="s">
        <v>1070</v>
      </c>
      <c r="C24" s="111">
        <v>4369730</v>
      </c>
      <c r="D24" s="210">
        <f t="shared" si="3"/>
        <v>1.9131203758584627</v>
      </c>
      <c r="E24" s="195" t="s">
        <v>4357</v>
      </c>
      <c r="F24" s="115">
        <v>3120.5</v>
      </c>
      <c r="G24" s="19">
        <v>2679</v>
      </c>
      <c r="H24" s="195">
        <f t="shared" si="0"/>
        <v>1400.3300753084441</v>
      </c>
      <c r="I24" s="221">
        <f t="shared" si="1"/>
        <v>7.1411734821144558E-4</v>
      </c>
      <c r="J24" s="97"/>
      <c r="K24" s="97"/>
      <c r="L24" s="97"/>
      <c r="M24" s="97"/>
      <c r="N24" s="97"/>
    </row>
    <row r="25" spans="1:14">
      <c r="A25" s="210" t="s">
        <v>4634</v>
      </c>
      <c r="B25" s="210" t="s">
        <v>1070</v>
      </c>
      <c r="C25" s="111">
        <v>4398820</v>
      </c>
      <c r="D25" s="210">
        <f t="shared" si="3"/>
        <v>3.9898935623644527</v>
      </c>
      <c r="E25" s="195" t="s">
        <v>4357</v>
      </c>
      <c r="F25" s="115">
        <v>3112.4</v>
      </c>
      <c r="G25" s="19">
        <v>5639</v>
      </c>
      <c r="H25" s="195">
        <f t="shared" si="0"/>
        <v>1413.3209099087521</v>
      </c>
      <c r="I25" s="221">
        <f t="shared" si="1"/>
        <v>7.0755338931804436E-4</v>
      </c>
      <c r="J25" s="97"/>
      <c r="K25" s="97"/>
      <c r="L25" s="97"/>
      <c r="M25" s="97"/>
      <c r="N25" s="97"/>
    </row>
    <row r="26" spans="1:14">
      <c r="A26" s="210" t="s">
        <v>4643</v>
      </c>
      <c r="B26" s="210" t="s">
        <v>1070</v>
      </c>
      <c r="C26" s="111">
        <v>4445103</v>
      </c>
      <c r="D26" s="210">
        <f t="shared" si="3"/>
        <v>1.8767484128039327</v>
      </c>
      <c r="E26" s="217" t="s">
        <v>4374</v>
      </c>
      <c r="F26" s="115">
        <v>489</v>
      </c>
      <c r="G26" s="19">
        <v>17060</v>
      </c>
      <c r="H26" s="217">
        <f t="shared" si="0"/>
        <v>9090.1901840490791</v>
      </c>
      <c r="I26" s="221">
        <f t="shared" si="1"/>
        <v>1.1000869946095737E-4</v>
      </c>
      <c r="J26" s="97"/>
      <c r="K26" s="97"/>
      <c r="L26" s="97"/>
      <c r="M26" s="97"/>
      <c r="N26" s="97"/>
    </row>
    <row r="27" spans="1:14">
      <c r="A27" s="210" t="s">
        <v>3668</v>
      </c>
      <c r="B27" s="210" t="s">
        <v>1070</v>
      </c>
      <c r="C27" s="111">
        <v>4490623</v>
      </c>
      <c r="D27" s="210">
        <f t="shared" si="3"/>
        <v>3.9795864404560346</v>
      </c>
      <c r="E27" s="217" t="s">
        <v>4374</v>
      </c>
      <c r="F27" s="210">
        <v>486.4</v>
      </c>
      <c r="G27" s="210">
        <v>36741</v>
      </c>
      <c r="H27" s="217">
        <f t="shared" si="0"/>
        <v>9232.3663651315801</v>
      </c>
      <c r="I27" s="221">
        <f t="shared" si="1"/>
        <v>1.0831459242960275E-4</v>
      </c>
      <c r="J27" s="97"/>
      <c r="K27" s="97"/>
      <c r="L27" s="97"/>
      <c r="M27" s="97"/>
      <c r="N27" s="97"/>
    </row>
    <row r="28" spans="1:14">
      <c r="A28" s="210" t="s">
        <v>4655</v>
      </c>
      <c r="B28" s="210" t="s">
        <v>1070</v>
      </c>
      <c r="C28" s="111">
        <v>4590878</v>
      </c>
      <c r="D28" s="210">
        <f t="shared" si="3"/>
        <v>2.0741130563696095</v>
      </c>
      <c r="E28" s="205" t="s">
        <v>4374</v>
      </c>
      <c r="F28" s="210">
        <v>476.1</v>
      </c>
      <c r="G28" s="210">
        <v>20000</v>
      </c>
      <c r="H28" s="205">
        <f t="shared" si="0"/>
        <v>9642.6759084225996</v>
      </c>
      <c r="I28" s="221">
        <f t="shared" si="1"/>
        <v>1.0370565281848048E-4</v>
      </c>
      <c r="J28" s="97"/>
      <c r="K28" s="97"/>
      <c r="L28" s="97"/>
      <c r="M28" s="97"/>
      <c r="N28" s="97"/>
    </row>
    <row r="29" spans="1:14">
      <c r="A29" s="210" t="s">
        <v>4655</v>
      </c>
      <c r="B29" s="210" t="s">
        <v>1070</v>
      </c>
      <c r="C29" s="111">
        <v>4590878</v>
      </c>
      <c r="D29" s="210">
        <f t="shared" si="3"/>
        <v>2.3602445980921298</v>
      </c>
      <c r="E29" s="195" t="s">
        <v>4357</v>
      </c>
      <c r="F29" s="210">
        <v>3095</v>
      </c>
      <c r="G29" s="210">
        <v>3501</v>
      </c>
      <c r="H29" s="195">
        <f t="shared" si="0"/>
        <v>1483.3208400646204</v>
      </c>
      <c r="I29" s="221">
        <f t="shared" si="1"/>
        <v>6.7416298146019129E-4</v>
      </c>
      <c r="J29" s="97"/>
      <c r="K29" s="97"/>
      <c r="L29" s="97"/>
      <c r="M29" s="97"/>
      <c r="N29" s="97"/>
    </row>
    <row r="30" spans="1:14">
      <c r="A30" s="210" t="s">
        <v>4655</v>
      </c>
      <c r="B30" s="210" t="s">
        <v>1070</v>
      </c>
      <c r="C30" s="111">
        <v>4590878</v>
      </c>
      <c r="D30" s="210">
        <f t="shared" si="3"/>
        <v>0.33907971416360883</v>
      </c>
      <c r="E30" s="220" t="s">
        <v>4219</v>
      </c>
      <c r="F30" s="115">
        <v>168.8</v>
      </c>
      <c r="G30" s="19">
        <v>9222</v>
      </c>
      <c r="H30" s="220">
        <f t="shared" si="0"/>
        <v>27197.14454976303</v>
      </c>
      <c r="I30" s="221">
        <f t="shared" si="1"/>
        <v>3.6768565838604295E-5</v>
      </c>
      <c r="J30" s="97"/>
      <c r="K30" s="97"/>
      <c r="L30" s="97"/>
      <c r="M30" s="97"/>
      <c r="N30" s="97"/>
    </row>
    <row r="31" spans="1:14">
      <c r="A31" s="210" t="s">
        <v>4655</v>
      </c>
      <c r="B31" s="210" t="s">
        <v>1070</v>
      </c>
      <c r="C31" s="111">
        <v>4590878</v>
      </c>
      <c r="D31" s="210">
        <f t="shared" si="3"/>
        <v>1.0887767002303264</v>
      </c>
      <c r="E31" s="13" t="s">
        <v>4485</v>
      </c>
      <c r="F31" s="115">
        <v>3859.8</v>
      </c>
      <c r="G31" s="19">
        <v>1295</v>
      </c>
      <c r="H31" s="13">
        <f t="shared" si="0"/>
        <v>1189.4082594953106</v>
      </c>
      <c r="I31" s="221">
        <f t="shared" si="1"/>
        <v>8.4075420867206669E-4</v>
      </c>
      <c r="J31" s="97"/>
      <c r="K31" s="97"/>
      <c r="L31" s="97"/>
      <c r="M31" s="97"/>
      <c r="N31" s="97"/>
    </row>
    <row r="32" spans="1:14">
      <c r="A32" s="210" t="s">
        <v>4658</v>
      </c>
      <c r="B32" s="210" t="s">
        <v>1070</v>
      </c>
      <c r="C32" s="111">
        <v>4445103</v>
      </c>
      <c r="D32" s="210">
        <f t="shared" si="3"/>
        <v>1.0998433557107676</v>
      </c>
      <c r="E32" s="189" t="s">
        <v>4357</v>
      </c>
      <c r="F32" s="115">
        <v>3069</v>
      </c>
      <c r="G32" s="210">
        <v>1593</v>
      </c>
      <c r="H32" s="189">
        <f t="shared" si="0"/>
        <v>1448.3880742913002</v>
      </c>
      <c r="I32" s="221">
        <f t="shared" si="1"/>
        <v>6.9042269661692874E-4</v>
      </c>
      <c r="J32" s="97" t="s">
        <v>4659</v>
      </c>
      <c r="K32" s="97"/>
      <c r="L32" s="97"/>
      <c r="M32" s="97"/>
      <c r="N32" s="97"/>
    </row>
    <row r="33" spans="1:14">
      <c r="A33" s="210" t="s">
        <v>4658</v>
      </c>
      <c r="B33" s="210" t="s">
        <v>1070</v>
      </c>
      <c r="C33" s="111">
        <v>4724483</v>
      </c>
      <c r="D33" s="210">
        <f t="shared" si="3"/>
        <v>2.1503257816781223</v>
      </c>
      <c r="E33" s="190" t="s">
        <v>4357</v>
      </c>
      <c r="F33" s="115">
        <v>3099.2</v>
      </c>
      <c r="G33" s="210">
        <v>3278</v>
      </c>
      <c r="H33" s="190">
        <f t="shared" si="0"/>
        <v>1524.4201729478575</v>
      </c>
      <c r="I33" s="221">
        <f t="shared" si="1"/>
        <v>6.5598712070717572E-4</v>
      </c>
      <c r="J33" s="97"/>
      <c r="K33" s="97"/>
      <c r="L33" s="97"/>
      <c r="M33" s="97"/>
      <c r="N33" s="97"/>
    </row>
    <row r="34" spans="1:14">
      <c r="A34" s="210" t="s">
        <v>4658</v>
      </c>
      <c r="B34" s="210" t="s">
        <v>1070</v>
      </c>
      <c r="C34" s="111">
        <v>4724483</v>
      </c>
      <c r="D34" s="210">
        <f t="shared" si="3"/>
        <v>2.8236157480088302</v>
      </c>
      <c r="E34" s="5" t="s">
        <v>4485</v>
      </c>
      <c r="F34" s="115">
        <v>3853.3</v>
      </c>
      <c r="G34" s="210">
        <v>3462</v>
      </c>
      <c r="H34" s="5">
        <f t="shared" ref="H34:H59" si="4">C34/F34</f>
        <v>1226.0875094075207</v>
      </c>
      <c r="I34" s="221">
        <f t="shared" ref="I34:I59" si="5">F34/C34</f>
        <v>8.1560246909556037E-4</v>
      </c>
      <c r="J34" s="97"/>
      <c r="K34" s="97"/>
      <c r="L34" s="97"/>
      <c r="M34" s="97"/>
      <c r="N34" s="97"/>
    </row>
    <row r="35" spans="1:14">
      <c r="A35" s="210" t="s">
        <v>4672</v>
      </c>
      <c r="B35" s="210" t="s">
        <v>1070</v>
      </c>
      <c r="C35" s="111">
        <v>4852712</v>
      </c>
      <c r="D35" s="210">
        <f t="shared" si="3"/>
        <v>0.69267922761540357</v>
      </c>
      <c r="E35" s="195" t="s">
        <v>4357</v>
      </c>
      <c r="F35" s="115">
        <v>3324.8</v>
      </c>
      <c r="G35" s="210">
        <v>1011</v>
      </c>
      <c r="H35" s="195">
        <f t="shared" si="4"/>
        <v>1459.5500481231952</v>
      </c>
      <c r="I35" s="221">
        <f t="shared" si="5"/>
        <v>6.8514265837329731E-4</v>
      </c>
      <c r="J35" s="97"/>
      <c r="K35" s="97"/>
      <c r="L35" s="97"/>
      <c r="M35" s="97"/>
      <c r="N35" s="97"/>
    </row>
    <row r="36" spans="1:14">
      <c r="A36" s="210" t="s">
        <v>4672</v>
      </c>
      <c r="B36" s="210" t="s">
        <v>1070</v>
      </c>
      <c r="C36" s="111">
        <v>4852712</v>
      </c>
      <c r="D36" s="210">
        <f t="shared" si="3"/>
        <v>13.047731721973198</v>
      </c>
      <c r="E36" s="13" t="s">
        <v>4485</v>
      </c>
      <c r="F36" s="115">
        <v>4176.3</v>
      </c>
      <c r="G36" s="210">
        <v>15161</v>
      </c>
      <c r="H36" s="13">
        <f t="shared" si="4"/>
        <v>1161.9644182649713</v>
      </c>
      <c r="I36" s="221">
        <f t="shared" si="5"/>
        <v>8.6061155081941813E-4</v>
      </c>
      <c r="J36" s="97"/>
      <c r="K36" s="97"/>
      <c r="L36" s="97"/>
      <c r="M36" s="97"/>
      <c r="N36" s="97"/>
    </row>
    <row r="37" spans="1:14">
      <c r="A37" s="210" t="s">
        <v>4672</v>
      </c>
      <c r="B37" s="210" t="s">
        <v>1070</v>
      </c>
      <c r="C37" s="111">
        <v>4852712</v>
      </c>
      <c r="D37" s="210">
        <f t="shared" si="3"/>
        <v>3.1790291490613911</v>
      </c>
      <c r="E37" s="217" t="s">
        <v>4374</v>
      </c>
      <c r="F37" s="115">
        <v>525.1</v>
      </c>
      <c r="G37" s="210">
        <v>29379</v>
      </c>
      <c r="H37" s="217">
        <f t="shared" si="4"/>
        <v>9241.5006665397068</v>
      </c>
      <c r="I37" s="221">
        <f t="shared" si="5"/>
        <v>1.0820753426125433E-4</v>
      </c>
      <c r="J37" s="97"/>
      <c r="K37" s="97"/>
      <c r="L37" s="97"/>
      <c r="M37" s="97"/>
      <c r="N37" s="97"/>
    </row>
    <row r="38" spans="1:14">
      <c r="A38" s="210" t="s">
        <v>4679</v>
      </c>
      <c r="B38" s="210" t="s">
        <v>1070</v>
      </c>
      <c r="C38" s="111">
        <v>4977171</v>
      </c>
      <c r="D38" s="210">
        <f t="shared" si="3"/>
        <v>6.1346965173589574</v>
      </c>
      <c r="E38" s="217" t="s">
        <v>4374</v>
      </c>
      <c r="F38" s="115">
        <v>529.79999999999995</v>
      </c>
      <c r="G38" s="210">
        <v>57632</v>
      </c>
      <c r="H38" s="217">
        <f t="shared" si="4"/>
        <v>9394.4337485843716</v>
      </c>
      <c r="I38" s="221">
        <f t="shared" si="5"/>
        <v>1.0644601119792749E-4</v>
      </c>
      <c r="J38" s="97"/>
      <c r="K38" s="97"/>
      <c r="L38" s="97"/>
      <c r="M38" s="97"/>
      <c r="N38" s="97"/>
    </row>
    <row r="39" spans="1:14">
      <c r="A39" s="210" t="s">
        <v>4679</v>
      </c>
      <c r="B39" s="210" t="s">
        <v>1070</v>
      </c>
      <c r="C39" s="111">
        <v>4977171</v>
      </c>
      <c r="D39" s="210">
        <f t="shared" si="3"/>
        <v>1.084129920390519</v>
      </c>
      <c r="E39" s="222" t="s">
        <v>4361</v>
      </c>
      <c r="F39" s="115">
        <v>5395.9</v>
      </c>
      <c r="G39" s="210">
        <v>1000</v>
      </c>
      <c r="H39" s="222">
        <f t="shared" si="4"/>
        <v>922.39867306658766</v>
      </c>
      <c r="I39" s="221">
        <f t="shared" si="5"/>
        <v>1.0841299203905189E-3</v>
      </c>
      <c r="J39" s="97"/>
      <c r="K39" s="97"/>
      <c r="L39" s="97"/>
      <c r="M39" s="97"/>
      <c r="N39" s="97"/>
    </row>
    <row r="40" spans="1:14">
      <c r="A40" s="210" t="s">
        <v>4679</v>
      </c>
      <c r="B40" s="210" t="s">
        <v>1070</v>
      </c>
      <c r="C40" s="111">
        <v>4977171</v>
      </c>
      <c r="D40" s="210">
        <f t="shared" si="3"/>
        <v>7.7072195831728516</v>
      </c>
      <c r="E40" s="217" t="s">
        <v>4357</v>
      </c>
      <c r="F40" s="115">
        <v>3355.8</v>
      </c>
      <c r="G40" s="210">
        <v>11431</v>
      </c>
      <c r="H40" s="217">
        <f t="shared" si="4"/>
        <v>1483.1548364026462</v>
      </c>
      <c r="I40" s="221">
        <f t="shared" si="5"/>
        <v>6.7423843785957929E-4</v>
      </c>
      <c r="J40" s="97"/>
      <c r="K40" s="97"/>
      <c r="L40" s="97"/>
      <c r="M40" s="97"/>
      <c r="N40" s="97"/>
    </row>
    <row r="41" spans="1:14">
      <c r="A41" s="225" t="s">
        <v>4692</v>
      </c>
      <c r="B41" s="225" t="s">
        <v>4374</v>
      </c>
      <c r="C41" s="223">
        <v>530.29999999999995</v>
      </c>
      <c r="D41" s="225">
        <f t="shared" si="3"/>
        <v>24481.99132566472</v>
      </c>
      <c r="E41" s="225" t="s">
        <v>4361</v>
      </c>
      <c r="F41" s="225">
        <v>5235</v>
      </c>
      <c r="G41" s="225">
        <v>2480</v>
      </c>
      <c r="H41" s="225">
        <f t="shared" si="4"/>
        <v>0.10129894937917859</v>
      </c>
      <c r="I41" s="294">
        <f t="shared" si="5"/>
        <v>9.8717706958325486</v>
      </c>
      <c r="J41" s="159"/>
      <c r="K41" s="97"/>
      <c r="L41" s="97"/>
      <c r="M41" s="97"/>
      <c r="N41" s="97"/>
    </row>
    <row r="42" spans="1:14">
      <c r="A42" s="210" t="s">
        <v>4705</v>
      </c>
      <c r="B42" s="210" t="s">
        <v>4219</v>
      </c>
      <c r="C42" s="111">
        <v>185.7</v>
      </c>
      <c r="D42" s="210">
        <f t="shared" si="3"/>
        <v>9238.0484652665582</v>
      </c>
      <c r="E42" s="210" t="s">
        <v>4271</v>
      </c>
      <c r="F42" s="115">
        <v>303.2</v>
      </c>
      <c r="G42" s="210">
        <v>5658</v>
      </c>
      <c r="H42" s="210">
        <f t="shared" si="4"/>
        <v>0.61246701846965701</v>
      </c>
      <c r="I42" s="221">
        <f t="shared" si="5"/>
        <v>1.6327409800753905</v>
      </c>
      <c r="J42" s="97"/>
      <c r="K42" s="97"/>
      <c r="L42" s="97"/>
      <c r="M42" s="97"/>
      <c r="N42" s="97"/>
    </row>
    <row r="43" spans="1:14">
      <c r="A43" s="226" t="s">
        <v>4710</v>
      </c>
      <c r="B43" s="226" t="s">
        <v>4374</v>
      </c>
      <c r="C43" s="227">
        <v>538.79999999999995</v>
      </c>
      <c r="D43" s="226">
        <f t="shared" si="3"/>
        <v>4989.5322939866373</v>
      </c>
      <c r="E43" s="226" t="s">
        <v>4361</v>
      </c>
      <c r="F43" s="227">
        <v>5160</v>
      </c>
      <c r="G43" s="226">
        <v>521</v>
      </c>
      <c r="H43" s="226">
        <f t="shared" si="4"/>
        <v>0.10441860465116279</v>
      </c>
      <c r="I43" s="295">
        <f t="shared" si="5"/>
        <v>9.5768374164810695</v>
      </c>
      <c r="J43" s="228"/>
      <c r="K43" s="97"/>
      <c r="L43" s="97"/>
      <c r="M43" s="97"/>
      <c r="N43" s="97"/>
    </row>
    <row r="44" spans="1:14">
      <c r="A44" s="210" t="s">
        <v>4718</v>
      </c>
      <c r="B44" s="210" t="s">
        <v>4271</v>
      </c>
      <c r="C44" s="111">
        <v>299.10000000000002</v>
      </c>
      <c r="D44" s="210">
        <v>5658</v>
      </c>
      <c r="E44" s="210" t="s">
        <v>4219</v>
      </c>
      <c r="F44" s="210">
        <v>182.5</v>
      </c>
      <c r="G44" s="210">
        <v>9173</v>
      </c>
      <c r="H44" s="210">
        <f t="shared" si="4"/>
        <v>1.6389041095890413</v>
      </c>
      <c r="I44" s="221">
        <f t="shared" si="5"/>
        <v>0.61016382480775655</v>
      </c>
      <c r="J44" s="97" t="s">
        <v>4719</v>
      </c>
      <c r="K44" s="97"/>
      <c r="L44" s="97"/>
      <c r="M44" s="97"/>
      <c r="N44" s="97"/>
    </row>
    <row r="45" spans="1:14">
      <c r="A45" s="210" t="s">
        <v>4718</v>
      </c>
      <c r="B45" s="210" t="s">
        <v>4361</v>
      </c>
      <c r="C45" s="111">
        <v>5149.1000000000004</v>
      </c>
      <c r="D45" s="210">
        <v>290</v>
      </c>
      <c r="E45" s="210" t="s">
        <v>4485</v>
      </c>
      <c r="F45" s="210">
        <v>3933</v>
      </c>
      <c r="G45" s="210">
        <v>375</v>
      </c>
      <c r="H45" s="210">
        <f t="shared" si="4"/>
        <v>1.3092041698449022</v>
      </c>
      <c r="I45" s="221">
        <f t="shared" si="5"/>
        <v>0.76382280398516245</v>
      </c>
      <c r="J45" s="97" t="s">
        <v>25</v>
      </c>
      <c r="K45" s="97"/>
      <c r="L45" s="97"/>
      <c r="M45" s="97"/>
      <c r="N45" s="97"/>
    </row>
    <row r="46" spans="1:14">
      <c r="A46" s="210" t="s">
        <v>4740</v>
      </c>
      <c r="B46" s="210" t="s">
        <v>4361</v>
      </c>
      <c r="C46" s="111">
        <v>5399.3</v>
      </c>
      <c r="D46" s="210">
        <v>2000</v>
      </c>
      <c r="E46" s="210" t="s">
        <v>4485</v>
      </c>
      <c r="F46" s="210">
        <v>4049.8</v>
      </c>
      <c r="G46" s="210">
        <v>2638</v>
      </c>
      <c r="H46" s="210">
        <f t="shared" si="4"/>
        <v>1.3332263321645512</v>
      </c>
      <c r="I46" s="221">
        <f t="shared" si="5"/>
        <v>0.75006019298797988</v>
      </c>
      <c r="J46" s="97"/>
      <c r="K46" s="97"/>
      <c r="L46" s="97"/>
      <c r="M46" s="97"/>
      <c r="N46" s="97"/>
    </row>
    <row r="47" spans="1:14">
      <c r="A47" s="210" t="s">
        <v>4878</v>
      </c>
      <c r="B47" s="210" t="s">
        <v>4271</v>
      </c>
      <c r="C47" s="111">
        <v>362.9</v>
      </c>
      <c r="D47" s="210">
        <v>1822</v>
      </c>
      <c r="E47" s="210" t="s">
        <v>4219</v>
      </c>
      <c r="F47" s="210">
        <v>191.5</v>
      </c>
      <c r="G47" s="210">
        <v>3409</v>
      </c>
      <c r="H47" s="210">
        <f t="shared" si="4"/>
        <v>1.8950391644908615</v>
      </c>
      <c r="I47" s="221">
        <f t="shared" si="5"/>
        <v>0.5276935794984845</v>
      </c>
      <c r="J47" s="97"/>
      <c r="K47" s="97"/>
      <c r="L47" s="97"/>
      <c r="M47" s="97"/>
      <c r="N47" s="97"/>
    </row>
    <row r="48" spans="1:14">
      <c r="A48" s="210" t="s">
        <v>4878</v>
      </c>
      <c r="B48" s="210" t="s">
        <v>4271</v>
      </c>
      <c r="C48" s="111">
        <v>361.4</v>
      </c>
      <c r="D48" s="210">
        <v>5174</v>
      </c>
      <c r="E48" s="210" t="s">
        <v>4357</v>
      </c>
      <c r="F48" s="210">
        <v>3698</v>
      </c>
      <c r="G48" s="210">
        <v>498</v>
      </c>
      <c r="H48" s="210">
        <f t="shared" si="4"/>
        <v>9.7728501892915084E-2</v>
      </c>
      <c r="I48" s="221">
        <f t="shared" si="5"/>
        <v>10.232429441062536</v>
      </c>
      <c r="J48" s="97"/>
      <c r="K48" s="97"/>
      <c r="L48" s="97"/>
      <c r="M48" s="97"/>
      <c r="N48" s="97"/>
    </row>
    <row r="49" spans="1:19">
      <c r="A49" s="210" t="s">
        <v>4878</v>
      </c>
      <c r="B49" s="210" t="s">
        <v>4485</v>
      </c>
      <c r="C49" s="111">
        <v>4909.6000000000004</v>
      </c>
      <c r="D49" s="210">
        <v>2000</v>
      </c>
      <c r="E49" s="210" t="s">
        <v>4357</v>
      </c>
      <c r="F49" s="210">
        <v>3715.1</v>
      </c>
      <c r="G49" s="210">
        <v>2603</v>
      </c>
      <c r="H49" s="210">
        <f t="shared" si="4"/>
        <v>1.321525665527173</v>
      </c>
      <c r="I49" s="221">
        <f t="shared" si="5"/>
        <v>0.75670115691706041</v>
      </c>
      <c r="J49" s="97"/>
      <c r="K49" s="97"/>
      <c r="L49" s="97"/>
      <c r="M49" s="97"/>
      <c r="N49" s="97"/>
    </row>
    <row r="50" spans="1:19">
      <c r="A50" s="210" t="s">
        <v>4878</v>
      </c>
      <c r="B50" s="210" t="s">
        <v>4485</v>
      </c>
      <c r="C50" s="111">
        <v>4949.8</v>
      </c>
      <c r="D50" s="210">
        <v>64</v>
      </c>
      <c r="E50" s="210" t="s">
        <v>4357</v>
      </c>
      <c r="F50" s="210">
        <v>3720.1</v>
      </c>
      <c r="G50" s="210">
        <v>84</v>
      </c>
      <c r="H50" s="210">
        <f t="shared" si="4"/>
        <v>1.3305556302249941</v>
      </c>
      <c r="I50" s="221">
        <f t="shared" si="5"/>
        <v>0.75156571982706366</v>
      </c>
      <c r="J50" s="97"/>
      <c r="K50" s="97"/>
      <c r="L50" s="97"/>
      <c r="M50" s="97"/>
      <c r="N50" s="97"/>
    </row>
    <row r="51" spans="1:19">
      <c r="A51" s="210" t="s">
        <v>4878</v>
      </c>
      <c r="B51" s="210" t="s">
        <v>4485</v>
      </c>
      <c r="C51" s="111">
        <v>4949</v>
      </c>
      <c r="D51" s="210">
        <v>1000</v>
      </c>
      <c r="E51" s="210" t="s">
        <v>4219</v>
      </c>
      <c r="F51" s="210">
        <v>192</v>
      </c>
      <c r="G51" s="210" t="s">
        <v>4882</v>
      </c>
      <c r="H51" s="210">
        <f t="shared" si="4"/>
        <v>25.776041666666668</v>
      </c>
      <c r="I51" s="221">
        <f t="shared" si="5"/>
        <v>3.8795716306324508E-2</v>
      </c>
      <c r="J51" s="97"/>
      <c r="K51" s="97"/>
      <c r="L51" s="97"/>
      <c r="M51" s="97"/>
      <c r="N51" s="97"/>
    </row>
    <row r="52" spans="1:19">
      <c r="A52" s="210" t="s">
        <v>4884</v>
      </c>
      <c r="B52" s="210" t="s">
        <v>4485</v>
      </c>
      <c r="C52" s="111">
        <v>4957.7</v>
      </c>
      <c r="D52" s="210" t="s">
        <v>4882</v>
      </c>
      <c r="E52" s="210" t="s">
        <v>4357</v>
      </c>
      <c r="F52" s="210">
        <v>3589.3</v>
      </c>
      <c r="G52" s="210" t="s">
        <v>4882</v>
      </c>
      <c r="H52" s="210">
        <f t="shared" si="4"/>
        <v>1.3812442537542138</v>
      </c>
      <c r="I52" s="221">
        <f t="shared" si="5"/>
        <v>0.72398491235855345</v>
      </c>
      <c r="J52" s="97"/>
      <c r="K52" s="97"/>
      <c r="L52" s="97"/>
      <c r="M52" s="97"/>
      <c r="N52" s="97"/>
    </row>
    <row r="53" spans="1:19">
      <c r="A53" s="210" t="s">
        <v>4884</v>
      </c>
      <c r="B53" s="210" t="s">
        <v>4485</v>
      </c>
      <c r="C53" s="111">
        <v>4958</v>
      </c>
      <c r="D53" s="210" t="s">
        <v>4882</v>
      </c>
      <c r="E53" s="210" t="s">
        <v>4361</v>
      </c>
      <c r="F53" s="210">
        <v>4730.8999999999996</v>
      </c>
      <c r="G53" s="210" t="s">
        <v>4882</v>
      </c>
      <c r="H53" s="210">
        <f t="shared" si="4"/>
        <v>1.0480035511213512</v>
      </c>
      <c r="I53" s="221">
        <f t="shared" si="5"/>
        <v>0.95419524001613543</v>
      </c>
      <c r="J53" s="97"/>
      <c r="K53" s="97"/>
      <c r="L53" s="97"/>
      <c r="M53" s="97"/>
      <c r="N53" s="97"/>
    </row>
    <row r="54" spans="1:19">
      <c r="A54" s="210" t="s">
        <v>4884</v>
      </c>
      <c r="B54" s="210" t="s">
        <v>4485</v>
      </c>
      <c r="C54" s="111">
        <v>4958</v>
      </c>
      <c r="D54" s="210" t="s">
        <v>4882</v>
      </c>
      <c r="E54" s="210" t="s">
        <v>4374</v>
      </c>
      <c r="F54" s="210">
        <v>671.9</v>
      </c>
      <c r="G54" s="210" t="s">
        <v>4882</v>
      </c>
      <c r="H54" s="210">
        <f t="shared" si="4"/>
        <v>7.379074267004019</v>
      </c>
      <c r="I54" s="221">
        <f t="shared" si="5"/>
        <v>0.13551835417507058</v>
      </c>
      <c r="J54" s="97"/>
      <c r="K54" s="97"/>
      <c r="L54" s="97"/>
      <c r="M54" s="97" t="s">
        <v>25</v>
      </c>
      <c r="N54" s="97"/>
    </row>
    <row r="55" spans="1:19">
      <c r="A55" s="210" t="s">
        <v>4884</v>
      </c>
      <c r="B55" s="210" t="s">
        <v>4485</v>
      </c>
      <c r="C55" s="111">
        <v>4958</v>
      </c>
      <c r="D55" s="210" t="s">
        <v>4882</v>
      </c>
      <c r="E55" s="210" t="s">
        <v>4219</v>
      </c>
      <c r="F55" s="210">
        <v>194.4</v>
      </c>
      <c r="G55" s="210" t="s">
        <v>4882</v>
      </c>
      <c r="H55" s="210">
        <f t="shared" si="4"/>
        <v>25.504115226337447</v>
      </c>
      <c r="I55" s="221">
        <f t="shared" si="5"/>
        <v>3.9209358612343689E-2</v>
      </c>
      <c r="J55" s="97"/>
      <c r="K55" s="97"/>
      <c r="L55" s="97"/>
      <c r="M55" s="97"/>
      <c r="N55" s="97"/>
    </row>
    <row r="56" spans="1:19">
      <c r="A56" s="210" t="s">
        <v>4946</v>
      </c>
      <c r="B56" s="210" t="s">
        <v>4361</v>
      </c>
      <c r="C56" s="111">
        <v>5077.8</v>
      </c>
      <c r="D56" s="210">
        <v>5000</v>
      </c>
      <c r="E56" s="210" t="s">
        <v>4219</v>
      </c>
      <c r="F56" s="210">
        <v>211.3</v>
      </c>
      <c r="G56" s="210">
        <v>118433</v>
      </c>
      <c r="H56" s="210">
        <f t="shared" si="4"/>
        <v>24.031235210601039</v>
      </c>
      <c r="I56" s="221">
        <f t="shared" si="5"/>
        <v>4.161250935444484E-2</v>
      </c>
      <c r="J56" s="97"/>
      <c r="K56" s="97"/>
      <c r="L56" s="97"/>
      <c r="M56" s="97"/>
      <c r="N56" s="97"/>
    </row>
    <row r="57" spans="1:19">
      <c r="A57" s="210" t="s">
        <v>4949</v>
      </c>
      <c r="B57" s="210" t="s">
        <v>4361</v>
      </c>
      <c r="C57" s="111">
        <v>5039.5</v>
      </c>
      <c r="D57" s="210">
        <v>100</v>
      </c>
      <c r="E57" s="210" t="s">
        <v>4219</v>
      </c>
      <c r="F57" s="210">
        <v>209.6</v>
      </c>
      <c r="G57" s="210">
        <v>2379</v>
      </c>
      <c r="H57" s="210">
        <f t="shared" si="4"/>
        <v>24.043416030534353</v>
      </c>
      <c r="I57" s="221">
        <f t="shared" si="5"/>
        <v>4.1591427721004069E-2</v>
      </c>
      <c r="J57" s="97"/>
      <c r="K57" s="97"/>
      <c r="L57" s="97"/>
      <c r="M57" s="97"/>
      <c r="N57" s="97"/>
    </row>
    <row r="58" spans="1:19">
      <c r="A58" s="210" t="s">
        <v>4952</v>
      </c>
      <c r="B58" s="210" t="s">
        <v>4361</v>
      </c>
      <c r="C58" s="111">
        <v>4979.8999999999996</v>
      </c>
      <c r="D58" s="210">
        <v>100</v>
      </c>
      <c r="E58" s="210" t="s">
        <v>4219</v>
      </c>
      <c r="F58" s="210">
        <v>205.1</v>
      </c>
      <c r="G58" s="210">
        <v>2393</v>
      </c>
      <c r="H58" s="210">
        <f t="shared" si="4"/>
        <v>24.280351048269136</v>
      </c>
      <c r="I58" s="221">
        <f t="shared" si="5"/>
        <v>4.1185565975220391E-2</v>
      </c>
      <c r="J58" s="97"/>
      <c r="K58" s="97"/>
      <c r="L58" s="97"/>
      <c r="M58" s="97"/>
      <c r="N58" s="97"/>
    </row>
    <row r="59" spans="1:19">
      <c r="A59" s="210" t="s">
        <v>4976</v>
      </c>
      <c r="B59" s="210" t="s">
        <v>4361</v>
      </c>
      <c r="C59" s="111">
        <v>5300</v>
      </c>
      <c r="D59" s="210">
        <v>10520</v>
      </c>
      <c r="E59" s="210" t="s">
        <v>4374</v>
      </c>
      <c r="F59" s="210">
        <v>709</v>
      </c>
      <c r="G59" s="210">
        <v>77508</v>
      </c>
      <c r="H59" s="210">
        <f t="shared" si="4"/>
        <v>7.4753173483779971</v>
      </c>
      <c r="I59" s="221">
        <f t="shared" si="5"/>
        <v>0.13377358490566038</v>
      </c>
      <c r="J59" s="97"/>
      <c r="K59" s="97"/>
      <c r="L59" s="97"/>
      <c r="M59" s="97"/>
      <c r="N59" s="97"/>
    </row>
    <row r="60" spans="1:19">
      <c r="A60" s="97" t="s">
        <v>4989</v>
      </c>
      <c r="B60" s="97" t="s">
        <v>4374</v>
      </c>
      <c r="C60" s="111">
        <v>742</v>
      </c>
      <c r="D60" s="210">
        <v>11000</v>
      </c>
      <c r="E60" s="97" t="s">
        <v>4219</v>
      </c>
      <c r="F60" s="111">
        <v>240.4</v>
      </c>
      <c r="G60" s="210">
        <v>33357</v>
      </c>
      <c r="H60" s="210">
        <f t="shared" ref="H60:H76" si="6">C60/F60</f>
        <v>3.0865224625623959</v>
      </c>
      <c r="I60" s="221">
        <f t="shared" ref="I60:I79" si="7">F60/C60</f>
        <v>0.32398921832884098</v>
      </c>
      <c r="J60" s="97"/>
      <c r="K60" s="97"/>
      <c r="L60" s="97"/>
      <c r="M60" s="97"/>
      <c r="N60" s="97"/>
    </row>
    <row r="61" spans="1:19">
      <c r="A61" s="57" t="s">
        <v>4998</v>
      </c>
      <c r="B61" s="97" t="s">
        <v>4374</v>
      </c>
      <c r="C61" s="111">
        <v>752.1</v>
      </c>
      <c r="D61" s="97">
        <v>64000</v>
      </c>
      <c r="E61" s="97" t="s">
        <v>4219</v>
      </c>
      <c r="F61" s="97">
        <v>241.4</v>
      </c>
      <c r="G61" s="97">
        <v>200558</v>
      </c>
      <c r="H61" s="210">
        <f t="shared" si="6"/>
        <v>3.1155758077879039</v>
      </c>
      <c r="I61" s="221">
        <f t="shared" si="7"/>
        <v>0.32096795638877806</v>
      </c>
      <c r="J61" s="97"/>
      <c r="K61" s="97"/>
      <c r="L61" s="97"/>
      <c r="M61" s="97"/>
      <c r="N61" s="97"/>
    </row>
    <row r="62" spans="1:19">
      <c r="A62" s="210"/>
      <c r="B62" s="97" t="s">
        <v>4374</v>
      </c>
      <c r="C62" s="111">
        <v>744.6</v>
      </c>
      <c r="D62" s="97">
        <v>20671</v>
      </c>
      <c r="E62" s="97" t="s">
        <v>4219</v>
      </c>
      <c r="F62" s="97">
        <v>237.8</v>
      </c>
      <c r="G62" s="97">
        <v>63957</v>
      </c>
      <c r="H62" s="210">
        <f t="shared" si="6"/>
        <v>3.1312026913372581</v>
      </c>
      <c r="I62" s="221">
        <f t="shared" si="7"/>
        <v>0.31936610260542575</v>
      </c>
      <c r="J62" s="97"/>
      <c r="K62" s="97"/>
      <c r="L62" s="97"/>
      <c r="M62" s="97"/>
      <c r="N62" s="97"/>
    </row>
    <row r="63" spans="1:19">
      <c r="A63" s="210"/>
      <c r="B63" s="97" t="s">
        <v>4374</v>
      </c>
      <c r="C63" s="111">
        <v>7389</v>
      </c>
      <c r="D63" s="97">
        <v>1000</v>
      </c>
      <c r="E63" s="97" t="s">
        <v>4219</v>
      </c>
      <c r="F63" s="97">
        <v>2411</v>
      </c>
      <c r="G63" s="97">
        <v>3018</v>
      </c>
      <c r="H63" s="210">
        <f t="shared" si="6"/>
        <v>3.0647034425549564</v>
      </c>
      <c r="I63" s="221">
        <f t="shared" si="7"/>
        <v>0.3262958451752605</v>
      </c>
      <c r="J63" s="97"/>
      <c r="K63" s="97"/>
      <c r="L63" s="97"/>
      <c r="M63" s="97"/>
      <c r="N63" s="97"/>
      <c r="P63" s="97"/>
      <c r="Q63" s="97"/>
      <c r="R63" s="97">
        <v>518.4</v>
      </c>
      <c r="S63" s="97" t="s">
        <v>5351</v>
      </c>
    </row>
    <row r="64" spans="1:19">
      <c r="A64" s="210"/>
      <c r="B64" s="97" t="s">
        <v>4374</v>
      </c>
      <c r="C64" s="111">
        <v>7444</v>
      </c>
      <c r="D64" s="150">
        <v>10000</v>
      </c>
      <c r="E64" s="97" t="s">
        <v>4219</v>
      </c>
      <c r="F64" s="111">
        <v>2427</v>
      </c>
      <c r="G64" s="150">
        <v>30180</v>
      </c>
      <c r="H64" s="210">
        <f t="shared" si="6"/>
        <v>3.0671611042439224</v>
      </c>
      <c r="I64" s="221">
        <f t="shared" si="7"/>
        <v>0.32603439011284258</v>
      </c>
      <c r="J64" s="97"/>
      <c r="K64" s="97"/>
      <c r="L64" s="97"/>
      <c r="M64" s="97"/>
      <c r="N64" s="97"/>
      <c r="P64" s="97" t="s">
        <v>61</v>
      </c>
      <c r="Q64" s="97">
        <v>394</v>
      </c>
      <c r="R64" s="97">
        <v>493.3</v>
      </c>
      <c r="S64" s="97" t="s">
        <v>5352</v>
      </c>
    </row>
    <row r="65" spans="1:20">
      <c r="A65" s="159" t="s">
        <v>5036</v>
      </c>
      <c r="B65" s="159" t="s">
        <v>4374</v>
      </c>
      <c r="C65" s="223">
        <v>747.2</v>
      </c>
      <c r="D65" s="159">
        <v>2000</v>
      </c>
      <c r="E65" s="159" t="s">
        <v>4219</v>
      </c>
      <c r="F65" s="223">
        <v>242.8</v>
      </c>
      <c r="G65" s="159">
        <v>6069</v>
      </c>
      <c r="H65" s="225">
        <f t="shared" si="6"/>
        <v>3.0774299835255357</v>
      </c>
      <c r="I65" s="294">
        <f t="shared" si="7"/>
        <v>0.32494646680942185</v>
      </c>
      <c r="J65" s="97"/>
      <c r="K65" s="97"/>
      <c r="L65" s="97"/>
      <c r="M65" s="97"/>
      <c r="N65" s="97"/>
      <c r="P65" s="97" t="s">
        <v>934</v>
      </c>
      <c r="Q65" s="97">
        <v>482.1</v>
      </c>
      <c r="R65" s="97"/>
      <c r="S65" s="97"/>
    </row>
    <row r="66" spans="1:20">
      <c r="A66" s="159" t="s">
        <v>4214</v>
      </c>
      <c r="B66" s="159" t="s">
        <v>4374</v>
      </c>
      <c r="C66" s="223">
        <v>746.4</v>
      </c>
      <c r="D66" s="159">
        <v>4000</v>
      </c>
      <c r="E66" s="159" t="s">
        <v>4219</v>
      </c>
      <c r="F66" s="223">
        <v>241.7</v>
      </c>
      <c r="G66" s="159">
        <v>12167</v>
      </c>
      <c r="H66" s="225">
        <f t="shared" si="6"/>
        <v>3.0881257757550684</v>
      </c>
      <c r="I66" s="294">
        <f t="shared" si="7"/>
        <v>0.3238210075026795</v>
      </c>
      <c r="J66" s="97"/>
      <c r="K66" s="97"/>
      <c r="L66" s="97"/>
      <c r="M66" s="97"/>
      <c r="N66" s="97"/>
      <c r="P66" s="97"/>
      <c r="Q66" s="97"/>
      <c r="R66" s="97">
        <f>Q65*Q67/(R64*1.015)</f>
        <v>13479.941561755106</v>
      </c>
      <c r="S66" s="97" t="s">
        <v>5354</v>
      </c>
    </row>
    <row r="67" spans="1:20">
      <c r="A67" s="159" t="s">
        <v>5051</v>
      </c>
      <c r="B67" s="159" t="s">
        <v>4219</v>
      </c>
      <c r="C67" s="223">
        <v>269.5</v>
      </c>
      <c r="D67" s="159">
        <v>7000</v>
      </c>
      <c r="E67" s="159" t="s">
        <v>4374</v>
      </c>
      <c r="F67" s="223">
        <v>740</v>
      </c>
      <c r="G67" s="159">
        <v>2510</v>
      </c>
      <c r="H67" s="225">
        <f t="shared" si="6"/>
        <v>0.36418918918918919</v>
      </c>
      <c r="I67" s="294">
        <f t="shared" si="7"/>
        <v>2.74582560296846</v>
      </c>
      <c r="J67" s="97"/>
      <c r="K67" s="97"/>
      <c r="L67" s="97"/>
      <c r="M67" s="97"/>
      <c r="N67" s="97"/>
      <c r="O67" s="94"/>
      <c r="P67" s="97" t="s">
        <v>922</v>
      </c>
      <c r="Q67" s="97">
        <v>14000</v>
      </c>
      <c r="R67" s="97">
        <f>Q64*Q67*1.015/R63</f>
        <v>10800.038580246912</v>
      </c>
      <c r="S67" s="97" t="s">
        <v>5353</v>
      </c>
      <c r="T67" s="94"/>
    </row>
    <row r="68" spans="1:20">
      <c r="A68" s="159" t="s">
        <v>5054</v>
      </c>
      <c r="B68" s="159" t="s">
        <v>4219</v>
      </c>
      <c r="C68" s="223">
        <v>2710</v>
      </c>
      <c r="D68" s="159">
        <v>5122</v>
      </c>
      <c r="E68" s="159" t="s">
        <v>4374</v>
      </c>
      <c r="F68" s="223">
        <v>7506</v>
      </c>
      <c r="G68" s="159">
        <v>1821</v>
      </c>
      <c r="H68" s="225">
        <f t="shared" si="6"/>
        <v>0.36104449773514524</v>
      </c>
      <c r="I68" s="294">
        <f t="shared" si="7"/>
        <v>2.7697416974169742</v>
      </c>
      <c r="J68" s="97"/>
      <c r="K68" s="97"/>
      <c r="L68" s="97"/>
      <c r="M68" s="97"/>
      <c r="N68" s="97"/>
      <c r="O68" s="94"/>
      <c r="P68" s="97"/>
      <c r="Q68" s="97"/>
      <c r="R68" s="97"/>
      <c r="S68" s="97"/>
      <c r="T68" s="94"/>
    </row>
    <row r="69" spans="1:20">
      <c r="A69" s="159" t="s">
        <v>5079</v>
      </c>
      <c r="B69" s="159" t="s">
        <v>4219</v>
      </c>
      <c r="C69" s="223">
        <v>275.10000000000002</v>
      </c>
      <c r="D69" s="159">
        <v>2000</v>
      </c>
      <c r="E69" s="159" t="s">
        <v>4374</v>
      </c>
      <c r="F69" s="223">
        <v>778.5</v>
      </c>
      <c r="G69" s="159">
        <v>697</v>
      </c>
      <c r="H69" s="225">
        <f t="shared" si="6"/>
        <v>0.3533718689788054</v>
      </c>
      <c r="I69" s="294">
        <f t="shared" si="7"/>
        <v>2.8298800436205016</v>
      </c>
      <c r="J69" s="97"/>
      <c r="K69" s="97"/>
      <c r="L69" s="97"/>
      <c r="M69" s="97"/>
      <c r="N69" s="97"/>
      <c r="O69" s="94"/>
      <c r="P69" s="97"/>
      <c r="Q69" s="97"/>
      <c r="R69" s="1">
        <f>(R66-R67)*R64</f>
        <v>1321996.1407779921</v>
      </c>
      <c r="S69" s="97" t="s">
        <v>902</v>
      </c>
      <c r="T69" s="94"/>
    </row>
    <row r="70" spans="1:20">
      <c r="A70" s="159" t="s">
        <v>5080</v>
      </c>
      <c r="B70" s="159" t="s">
        <v>4219</v>
      </c>
      <c r="C70" s="223">
        <v>2845</v>
      </c>
      <c r="D70" s="159">
        <v>1614</v>
      </c>
      <c r="E70" s="159" t="s">
        <v>4374</v>
      </c>
      <c r="F70" s="223">
        <v>7914</v>
      </c>
      <c r="G70" s="159">
        <v>572</v>
      </c>
      <c r="H70" s="225">
        <f t="shared" si="6"/>
        <v>0.35948951225676018</v>
      </c>
      <c r="I70" s="294">
        <f t="shared" si="7"/>
        <v>2.7817223198594023</v>
      </c>
      <c r="J70" s="97"/>
      <c r="K70" s="97"/>
      <c r="L70" s="97"/>
      <c r="M70" s="97"/>
      <c r="N70" s="97"/>
      <c r="O70" s="94"/>
      <c r="P70" s="94"/>
      <c r="Q70" s="94"/>
      <c r="R70" s="94"/>
      <c r="S70" s="94"/>
      <c r="T70" s="94"/>
    </row>
    <row r="71" spans="1:20">
      <c r="A71" s="159" t="s">
        <v>5024</v>
      </c>
      <c r="B71" s="159" t="s">
        <v>4219</v>
      </c>
      <c r="C71" s="223">
        <v>291.5</v>
      </c>
      <c r="D71" s="159">
        <v>10000</v>
      </c>
      <c r="E71" s="159" t="s">
        <v>4374</v>
      </c>
      <c r="F71" s="223">
        <v>782.4</v>
      </c>
      <c r="G71" s="159">
        <v>3676</v>
      </c>
      <c r="H71" s="225">
        <f t="shared" si="6"/>
        <v>0.37257157464212681</v>
      </c>
      <c r="I71" s="294">
        <f t="shared" si="7"/>
        <v>2.6840480274442537</v>
      </c>
      <c r="J71" s="97"/>
      <c r="K71" s="97"/>
      <c r="L71" s="97"/>
      <c r="M71" s="97"/>
      <c r="N71" s="97"/>
      <c r="O71" s="94"/>
      <c r="P71" s="94"/>
      <c r="Q71" s="94"/>
      <c r="R71" s="94"/>
      <c r="S71" s="94"/>
      <c r="T71" s="94"/>
    </row>
    <row r="72" spans="1:20">
      <c r="A72" s="159" t="s">
        <v>5085</v>
      </c>
      <c r="B72" s="159" t="s">
        <v>4219</v>
      </c>
      <c r="C72" s="223">
        <v>2868</v>
      </c>
      <c r="D72" s="159">
        <v>1000</v>
      </c>
      <c r="E72" s="159" t="s">
        <v>4374</v>
      </c>
      <c r="F72" s="223">
        <v>7620</v>
      </c>
      <c r="G72" s="159">
        <v>371</v>
      </c>
      <c r="H72" s="225">
        <f t="shared" si="6"/>
        <v>0.37637795275590552</v>
      </c>
      <c r="I72" s="294">
        <f t="shared" si="7"/>
        <v>2.6569037656903767</v>
      </c>
      <c r="J72" s="97"/>
      <c r="K72" s="97"/>
      <c r="L72" s="97"/>
      <c r="M72" s="97"/>
      <c r="N72" s="97"/>
      <c r="O72" s="94"/>
      <c r="P72" s="94"/>
      <c r="Q72" s="94"/>
      <c r="R72" s="94"/>
      <c r="S72" s="94"/>
      <c r="T72" s="94"/>
    </row>
    <row r="73" spans="1:20">
      <c r="A73" s="159"/>
      <c r="B73" s="159" t="s">
        <v>4219</v>
      </c>
      <c r="C73" s="223">
        <v>2799</v>
      </c>
      <c r="D73" s="159">
        <v>2000</v>
      </c>
      <c r="E73" s="159" t="s">
        <v>4374</v>
      </c>
      <c r="F73" s="223">
        <v>7346</v>
      </c>
      <c r="G73" s="159">
        <v>749</v>
      </c>
      <c r="H73" s="225">
        <f t="shared" si="6"/>
        <v>0.38102368635992379</v>
      </c>
      <c r="I73" s="294">
        <f t="shared" si="7"/>
        <v>2.6245087531261166</v>
      </c>
      <c r="J73" s="97"/>
      <c r="K73" s="97"/>
      <c r="L73" s="97"/>
      <c r="M73" s="97"/>
      <c r="N73" s="97"/>
      <c r="O73" s="94"/>
      <c r="P73" s="94"/>
      <c r="Q73" s="94"/>
      <c r="R73" s="94"/>
      <c r="S73" s="94"/>
      <c r="T73" s="94"/>
    </row>
    <row r="74" spans="1:20">
      <c r="A74" s="159"/>
      <c r="B74" s="159" t="s">
        <v>4374</v>
      </c>
      <c r="C74" s="223">
        <v>7529</v>
      </c>
      <c r="D74" s="159">
        <v>1120</v>
      </c>
      <c r="E74" s="159" t="s">
        <v>4219</v>
      </c>
      <c r="F74" s="223">
        <v>2746</v>
      </c>
      <c r="G74" s="159">
        <v>3019</v>
      </c>
      <c r="H74" s="225">
        <f t="shared" si="6"/>
        <v>2.741806263656227</v>
      </c>
      <c r="I74" s="294">
        <f t="shared" si="7"/>
        <v>0.36472307079293398</v>
      </c>
      <c r="J74" s="97"/>
      <c r="K74" s="97"/>
      <c r="L74" s="97"/>
      <c r="M74" s="97"/>
      <c r="N74" s="97"/>
      <c r="O74" s="94"/>
      <c r="P74" s="94"/>
      <c r="Q74" s="94"/>
      <c r="R74" s="94"/>
      <c r="S74" s="94"/>
      <c r="T74" s="94"/>
    </row>
    <row r="75" spans="1:20">
      <c r="A75" s="159" t="s">
        <v>5094</v>
      </c>
      <c r="B75" s="159" t="s">
        <v>4374</v>
      </c>
      <c r="C75" s="223">
        <v>8432</v>
      </c>
      <c r="D75" s="159">
        <v>2000</v>
      </c>
      <c r="E75" s="159" t="s">
        <v>4219</v>
      </c>
      <c r="F75" s="223">
        <v>2902</v>
      </c>
      <c r="G75" s="159">
        <v>5728</v>
      </c>
      <c r="H75" s="225">
        <f t="shared" si="6"/>
        <v>2.9055823569951755</v>
      </c>
      <c r="I75" s="294">
        <f t="shared" si="7"/>
        <v>0.34416508538899432</v>
      </c>
      <c r="J75" s="97"/>
      <c r="K75" s="97"/>
      <c r="L75" s="97"/>
      <c r="M75" s="97"/>
      <c r="N75" s="97"/>
      <c r="O75" s="94"/>
      <c r="P75" s="94"/>
      <c r="Q75" s="94"/>
      <c r="R75" s="94"/>
      <c r="S75" s="94"/>
      <c r="T75" s="94"/>
    </row>
    <row r="76" spans="1:20">
      <c r="A76" s="159" t="s">
        <v>5126</v>
      </c>
      <c r="B76" s="159" t="s">
        <v>4219</v>
      </c>
      <c r="C76" s="223">
        <v>3039</v>
      </c>
      <c r="D76" s="159">
        <v>5424</v>
      </c>
      <c r="E76" s="159" t="s">
        <v>4374</v>
      </c>
      <c r="F76" s="223">
        <v>8125</v>
      </c>
      <c r="G76" s="159">
        <v>2000</v>
      </c>
      <c r="H76" s="225">
        <f t="shared" si="6"/>
        <v>0.37403076923076922</v>
      </c>
      <c r="I76" s="294">
        <f t="shared" si="7"/>
        <v>2.6735768344850279</v>
      </c>
      <c r="J76" s="97"/>
      <c r="K76" s="97"/>
      <c r="L76" s="97"/>
      <c r="M76" s="97"/>
      <c r="N76" s="97"/>
      <c r="P76" s="94"/>
      <c r="Q76" s="94"/>
      <c r="R76" s="94"/>
      <c r="S76" s="94"/>
      <c r="T76" s="94"/>
    </row>
    <row r="77" spans="1:20">
      <c r="A77" s="119" t="s">
        <v>5406</v>
      </c>
      <c r="B77" s="119" t="s">
        <v>4374</v>
      </c>
      <c r="C77" s="77">
        <v>1348.1</v>
      </c>
      <c r="D77" s="119">
        <v>22264</v>
      </c>
      <c r="E77" s="283" t="s">
        <v>4361</v>
      </c>
      <c r="F77" s="284">
        <v>7159.6</v>
      </c>
      <c r="G77" s="119">
        <f>C77*D77*0.99025/(F77*1.00464)</f>
        <v>4132.100996929863</v>
      </c>
      <c r="H77" s="217">
        <f t="shared" ref="H77:H80" si="8">C77/F77</f>
        <v>0.18829264204704171</v>
      </c>
      <c r="I77" s="296">
        <f t="shared" si="7"/>
        <v>5.3108819820488105</v>
      </c>
      <c r="J77" s="97"/>
      <c r="K77" s="97"/>
      <c r="L77" s="97"/>
      <c r="M77" s="97"/>
      <c r="N77" s="97"/>
      <c r="O77" s="94"/>
      <c r="P77" s="94"/>
      <c r="Q77" s="94"/>
      <c r="R77" s="94"/>
      <c r="S77" s="94"/>
      <c r="T77" s="94"/>
    </row>
    <row r="78" spans="1:20">
      <c r="A78" s="119" t="s">
        <v>5406</v>
      </c>
      <c r="B78" s="119" t="s">
        <v>4374</v>
      </c>
      <c r="C78" s="77">
        <v>1379.9</v>
      </c>
      <c r="D78" s="119">
        <v>12000</v>
      </c>
      <c r="E78" s="283" t="s">
        <v>4361</v>
      </c>
      <c r="F78" s="284">
        <v>7121.4</v>
      </c>
      <c r="G78" s="119">
        <f>C78*D78*0.99025/(F78*1.00464)</f>
        <v>2291.9116165429182</v>
      </c>
      <c r="H78" s="217">
        <f t="shared" si="8"/>
        <v>0.193768079310248</v>
      </c>
      <c r="I78" s="296">
        <f t="shared" si="7"/>
        <v>5.1608087542575545</v>
      </c>
      <c r="J78" s="97"/>
      <c r="K78" s="97"/>
      <c r="L78" s="97"/>
      <c r="M78" s="97"/>
      <c r="N78" s="97"/>
      <c r="O78" s="94"/>
      <c r="P78" s="94"/>
      <c r="Q78" s="94"/>
      <c r="R78" s="94"/>
      <c r="S78" s="94"/>
      <c r="T78" s="94"/>
    </row>
    <row r="79" spans="1:20">
      <c r="A79" s="119" t="s">
        <v>5411</v>
      </c>
      <c r="B79" s="119" t="s">
        <v>4374</v>
      </c>
      <c r="C79" s="77">
        <v>1494.5</v>
      </c>
      <c r="D79" s="119">
        <v>15908</v>
      </c>
      <c r="E79" s="283" t="s">
        <v>4361</v>
      </c>
      <c r="F79" s="284">
        <v>7581.3</v>
      </c>
      <c r="G79" s="119">
        <f>C79*D79*0.99025/(F79*1.00464)</f>
        <v>3091.0227719958607</v>
      </c>
      <c r="H79" s="217">
        <f t="shared" si="8"/>
        <v>0.19712977985305949</v>
      </c>
      <c r="I79" s="296">
        <f t="shared" si="7"/>
        <v>5.0728002676480433</v>
      </c>
      <c r="J79" s="97"/>
      <c r="K79" s="97"/>
      <c r="L79" s="97" t="s">
        <v>25</v>
      </c>
      <c r="M79" s="97"/>
      <c r="N79" s="97"/>
      <c r="O79" s="94"/>
      <c r="P79" s="94"/>
      <c r="Q79" s="94"/>
      <c r="R79" s="94"/>
      <c r="S79" s="94"/>
      <c r="T79" s="94"/>
    </row>
    <row r="80" spans="1:20">
      <c r="A80" s="119" t="s">
        <v>5412</v>
      </c>
      <c r="B80" s="119" t="s">
        <v>4374</v>
      </c>
      <c r="C80" s="77">
        <v>1509.3</v>
      </c>
      <c r="D80" s="119">
        <v>2000</v>
      </c>
      <c r="E80" s="283" t="s">
        <v>4361</v>
      </c>
      <c r="F80" s="284">
        <v>7614.2</v>
      </c>
      <c r="G80" s="119">
        <f>C80*D80*0.99025/(F80*1.00464)</f>
        <v>390.76501350614762</v>
      </c>
      <c r="H80" s="217">
        <f t="shared" si="8"/>
        <v>0.19822174358435554</v>
      </c>
      <c r="I80" s="296">
        <f t="shared" ref="I80" si="9">F80/C80</f>
        <v>5.0448552309017423</v>
      </c>
      <c r="J80" s="97"/>
      <c r="K80" s="97"/>
      <c r="L80" s="285">
        <f>49/1044.7</f>
        <v>4.6903417248970992E-2</v>
      </c>
      <c r="M80" s="285">
        <f>1-L80</f>
        <v>0.95309658275102904</v>
      </c>
      <c r="N80" s="97"/>
      <c r="O80" s="94"/>
      <c r="P80" s="94"/>
      <c r="Q80" s="94"/>
      <c r="R80" s="94"/>
      <c r="S80" s="94"/>
      <c r="T80" s="94"/>
    </row>
    <row r="81" spans="1:25">
      <c r="A81" s="285" t="s">
        <v>5422</v>
      </c>
      <c r="B81" s="285" t="s">
        <v>4219</v>
      </c>
      <c r="C81" s="287">
        <f>689.1*M80</f>
        <v>656.77885517373409</v>
      </c>
      <c r="D81" s="285">
        <v>10732</v>
      </c>
      <c r="E81" s="288" t="s">
        <v>4485</v>
      </c>
      <c r="F81" s="47">
        <v>2696.3</v>
      </c>
      <c r="G81" s="285">
        <f t="shared" ref="G81:G85" si="10">C81*D81*0.99025/(F81*1.0046399)</f>
        <v>2576.7129682737545</v>
      </c>
      <c r="H81" s="286">
        <f t="shared" ref="H81:H85" si="11">C81/F81</f>
        <v>0.24358522982373401</v>
      </c>
      <c r="I81" s="297">
        <f t="shared" ref="I81:I85" si="12">F81/C81</f>
        <v>4.1053392306406744</v>
      </c>
      <c r="J81" s="97" t="s">
        <v>452</v>
      </c>
      <c r="K81" s="97"/>
      <c r="L81" s="97"/>
      <c r="M81" s="97"/>
      <c r="N81" s="97"/>
      <c r="O81" s="94"/>
      <c r="P81" s="94"/>
      <c r="Q81" s="94"/>
      <c r="R81" s="94" t="s">
        <v>25</v>
      </c>
      <c r="S81" s="94"/>
      <c r="T81" s="94"/>
    </row>
    <row r="82" spans="1:25">
      <c r="A82" s="285" t="s">
        <v>5424</v>
      </c>
      <c r="B82" s="285" t="s">
        <v>4219</v>
      </c>
      <c r="C82" s="287">
        <f>723.5*M80</f>
        <v>689.56537762036953</v>
      </c>
      <c r="D82" s="285">
        <v>4758</v>
      </c>
      <c r="E82" s="288" t="s">
        <v>4485</v>
      </c>
      <c r="F82" s="47">
        <v>2830.4</v>
      </c>
      <c r="G82" s="285">
        <f t="shared" si="10"/>
        <v>1142.5796864247795</v>
      </c>
      <c r="H82" s="190">
        <f t="shared" si="11"/>
        <v>0.24362824251708928</v>
      </c>
      <c r="I82" s="297">
        <f t="shared" si="12"/>
        <v>4.104614430857108</v>
      </c>
      <c r="J82" s="97" t="s">
        <v>744</v>
      </c>
      <c r="K82" s="97"/>
      <c r="L82" s="97"/>
      <c r="M82" s="97"/>
      <c r="N82" s="97"/>
      <c r="O82" s="94"/>
      <c r="P82" s="94"/>
      <c r="Q82" s="94"/>
      <c r="R82" s="94" t="s">
        <v>25</v>
      </c>
      <c r="S82" s="94"/>
      <c r="T82" s="94"/>
    </row>
    <row r="83" spans="1:25">
      <c r="A83" s="119" t="s">
        <v>5417</v>
      </c>
      <c r="B83" s="119" t="s">
        <v>4374</v>
      </c>
      <c r="C83" s="77">
        <v>1674.8</v>
      </c>
      <c r="D83" s="119">
        <v>300</v>
      </c>
      <c r="E83" s="288" t="s">
        <v>4485</v>
      </c>
      <c r="F83" s="47">
        <v>2700.4</v>
      </c>
      <c r="G83" s="119">
        <f t="shared" si="10"/>
        <v>183.39628590984589</v>
      </c>
      <c r="H83" s="5">
        <f t="shared" si="11"/>
        <v>0.62020441416086503</v>
      </c>
      <c r="I83" s="296">
        <f t="shared" si="12"/>
        <v>1.6123716264628614</v>
      </c>
      <c r="J83" s="97" t="s">
        <v>452</v>
      </c>
      <c r="K83" s="97"/>
      <c r="L83" s="97"/>
      <c r="M83" s="97"/>
      <c r="N83" s="97" t="s">
        <v>25</v>
      </c>
      <c r="O83" s="94"/>
      <c r="P83" s="94"/>
      <c r="Q83" s="94"/>
      <c r="R83" s="94" t="s">
        <v>25</v>
      </c>
      <c r="S83" s="94"/>
      <c r="T83" s="94"/>
    </row>
    <row r="84" spans="1:25">
      <c r="A84" s="119" t="s">
        <v>5417</v>
      </c>
      <c r="B84" s="119" t="s">
        <v>4374</v>
      </c>
      <c r="C84" s="77">
        <v>1656.7</v>
      </c>
      <c r="D84" s="119">
        <v>11857</v>
      </c>
      <c r="E84" s="283" t="s">
        <v>4361</v>
      </c>
      <c r="F84" s="284">
        <v>8338</v>
      </c>
      <c r="G84" s="119">
        <f t="shared" si="10"/>
        <v>2322.1551342366233</v>
      </c>
      <c r="H84" s="5">
        <f t="shared" si="11"/>
        <v>0.19869273207004079</v>
      </c>
      <c r="I84" s="296">
        <f t="shared" si="12"/>
        <v>5.0328967223999515</v>
      </c>
      <c r="J84" s="97" t="s">
        <v>744</v>
      </c>
      <c r="K84" s="97"/>
      <c r="L84" s="97"/>
      <c r="M84" s="97"/>
      <c r="N84" s="97"/>
      <c r="O84" s="94"/>
      <c r="P84" s="94"/>
      <c r="Q84" s="94"/>
      <c r="R84" s="94" t="s">
        <v>25</v>
      </c>
      <c r="S84" s="94" t="s">
        <v>25</v>
      </c>
      <c r="T84" s="94"/>
    </row>
    <row r="85" spans="1:25">
      <c r="A85" s="119" t="s">
        <v>5417</v>
      </c>
      <c r="B85" s="119" t="s">
        <v>4374</v>
      </c>
      <c r="C85" s="77">
        <v>1656.7</v>
      </c>
      <c r="D85" s="119">
        <v>29143</v>
      </c>
      <c r="E85" s="288" t="s">
        <v>4485</v>
      </c>
      <c r="F85" s="47">
        <v>2687.7</v>
      </c>
      <c r="G85" s="119">
        <f t="shared" si="10"/>
        <v>17706.460944457111</v>
      </c>
      <c r="H85" s="217">
        <f t="shared" si="11"/>
        <v>0.61640063995237571</v>
      </c>
      <c r="I85" s="296">
        <f t="shared" si="12"/>
        <v>1.6223214824651413</v>
      </c>
      <c r="J85" s="97" t="s">
        <v>744</v>
      </c>
      <c r="K85" s="97"/>
      <c r="L85" s="97"/>
      <c r="M85" s="97"/>
      <c r="N85" s="97"/>
      <c r="O85" s="94"/>
      <c r="P85" s="94"/>
      <c r="Q85" s="94"/>
      <c r="R85" s="94" t="s">
        <v>25</v>
      </c>
      <c r="S85" s="94" t="s">
        <v>25</v>
      </c>
      <c r="T85" s="94"/>
    </row>
    <row r="86" spans="1:25">
      <c r="A86" s="291"/>
      <c r="B86" s="291"/>
      <c r="C86" s="292"/>
      <c r="D86" s="291"/>
      <c r="E86" s="291"/>
      <c r="F86" s="292"/>
      <c r="G86" s="291"/>
      <c r="H86" s="293"/>
      <c r="I86" s="298"/>
      <c r="J86" s="291"/>
      <c r="K86" s="291"/>
      <c r="L86" s="291"/>
      <c r="M86" s="291"/>
      <c r="N86" s="97"/>
      <c r="O86" s="94"/>
      <c r="P86" s="94" t="s">
        <v>25</v>
      </c>
      <c r="Q86" s="94" t="s">
        <v>25</v>
      </c>
      <c r="R86" s="94" t="s">
        <v>25</v>
      </c>
      <c r="S86" s="120" t="s">
        <v>25</v>
      </c>
      <c r="T86" s="94"/>
    </row>
    <row r="87" spans="1:25">
      <c r="A87" s="283" t="s">
        <v>5773</v>
      </c>
      <c r="B87" s="283" t="s">
        <v>4361</v>
      </c>
      <c r="C87" s="284">
        <v>18835.400000000001</v>
      </c>
      <c r="D87" s="283">
        <v>3000</v>
      </c>
      <c r="E87" s="60" t="s">
        <v>4357</v>
      </c>
      <c r="F87" s="49">
        <v>15183</v>
      </c>
      <c r="G87" s="60">
        <f>C87*D87*0.99114/(F87*1.0037158)</f>
        <v>3675.0457776439484</v>
      </c>
      <c r="H87" s="205">
        <f>C87/F87</f>
        <v>1.2405585193966937</v>
      </c>
      <c r="I87" s="312">
        <f>F87/C87</f>
        <v>0.80608853541735237</v>
      </c>
      <c r="J87" s="20"/>
      <c r="K87" s="20">
        <v>1</v>
      </c>
      <c r="L87" s="20"/>
      <c r="M87" s="20"/>
      <c r="N87" s="20"/>
      <c r="O87" s="94" t="s">
        <v>25</v>
      </c>
      <c r="P87" s="94" t="s">
        <v>25</v>
      </c>
      <c r="Q87" s="94" t="s">
        <v>25</v>
      </c>
      <c r="R87" s="94" t="s">
        <v>25</v>
      </c>
      <c r="S87" s="94" t="s">
        <v>25</v>
      </c>
      <c r="T87" s="94"/>
    </row>
    <row r="88" spans="1:25">
      <c r="A88" s="283" t="s">
        <v>5785</v>
      </c>
      <c r="B88" s="283" t="s">
        <v>4361</v>
      </c>
      <c r="C88" s="284">
        <v>21532</v>
      </c>
      <c r="D88" s="283">
        <v>3145</v>
      </c>
      <c r="E88" s="60" t="s">
        <v>4357</v>
      </c>
      <c r="F88" s="49">
        <v>16385.3</v>
      </c>
      <c r="G88" s="60">
        <f t="shared" ref="G88:G91" si="13">C88*D88*0.99114/(F88*1.0037158)</f>
        <v>4081.0777289299676</v>
      </c>
      <c r="H88" s="205">
        <f t="shared" ref="H88:H91" si="14">C88/F88</f>
        <v>1.314104715812344</v>
      </c>
      <c r="I88" s="312">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3" t="s">
        <v>5785</v>
      </c>
      <c r="B89" s="283" t="s">
        <v>4361</v>
      </c>
      <c r="C89" s="284">
        <v>21532</v>
      </c>
      <c r="D89" s="283">
        <v>3490</v>
      </c>
      <c r="E89" s="60" t="s">
        <v>4357</v>
      </c>
      <c r="F89" s="49">
        <v>16237</v>
      </c>
      <c r="G89" s="60">
        <f t="shared" si="13"/>
        <v>4570.1268043870505</v>
      </c>
      <c r="H89" s="205">
        <f t="shared" si="14"/>
        <v>1.3261070394777361</v>
      </c>
      <c r="I89" s="312">
        <f t="shared" si="15"/>
        <v>0.75408694036782464</v>
      </c>
      <c r="J89" s="20" t="s">
        <v>25</v>
      </c>
      <c r="K89" s="20">
        <f>H89/H88</f>
        <v>1.0091334606146456</v>
      </c>
      <c r="L89" s="20"/>
      <c r="M89" s="20"/>
      <c r="N89" s="20"/>
      <c r="O89" s="94"/>
      <c r="P89" s="94" t="s">
        <v>25</v>
      </c>
      <c r="Q89" s="94" t="s">
        <v>25</v>
      </c>
      <c r="R89" s="112" t="s">
        <v>25</v>
      </c>
      <c r="S89" s="94"/>
      <c r="T89" s="94"/>
    </row>
    <row r="90" spans="1:25">
      <c r="A90" s="283"/>
      <c r="B90" s="283"/>
      <c r="C90" s="284"/>
      <c r="D90" s="283"/>
      <c r="E90" s="60"/>
      <c r="F90" s="49"/>
      <c r="G90" s="60" t="e">
        <f t="shared" si="13"/>
        <v>#DIV/0!</v>
      </c>
      <c r="H90" s="205" t="e">
        <f t="shared" si="14"/>
        <v>#DIV/0!</v>
      </c>
      <c r="I90" s="312" t="e">
        <f t="shared" si="15"/>
        <v>#DIV/0!</v>
      </c>
      <c r="J90" s="20"/>
      <c r="K90" s="20" t="e">
        <f t="shared" ref="K90" si="16">H90/H89</f>
        <v>#DIV/0!</v>
      </c>
      <c r="L90" s="20"/>
      <c r="M90" s="20"/>
      <c r="N90" s="20"/>
      <c r="O90" s="94" t="s">
        <v>25</v>
      </c>
      <c r="P90" s="94" t="s">
        <v>25</v>
      </c>
      <c r="Q90" s="94" t="s">
        <v>25</v>
      </c>
      <c r="R90" s="112"/>
      <c r="S90" s="94"/>
      <c r="T90" s="94"/>
    </row>
    <row r="91" spans="1:25">
      <c r="A91" s="283"/>
      <c r="B91" s="283"/>
      <c r="C91" s="284"/>
      <c r="D91" s="283"/>
      <c r="E91" s="60"/>
      <c r="F91" s="49"/>
      <c r="G91" s="60" t="e">
        <f t="shared" si="13"/>
        <v>#DIV/0!</v>
      </c>
      <c r="H91" s="205" t="e">
        <f t="shared" si="14"/>
        <v>#DIV/0!</v>
      </c>
      <c r="I91" s="312" t="e">
        <f t="shared" si="15"/>
        <v>#DIV/0!</v>
      </c>
      <c r="J91" s="20" t="s">
        <v>25</v>
      </c>
      <c r="K91" s="20"/>
      <c r="L91" s="20"/>
      <c r="M91" s="20"/>
      <c r="N91" s="20"/>
      <c r="O91" s="94" t="s">
        <v>25</v>
      </c>
      <c r="P91" s="94" t="s">
        <v>25</v>
      </c>
      <c r="Q91" s="94" t="s">
        <v>25</v>
      </c>
      <c r="R91" s="94"/>
      <c r="S91" s="94"/>
      <c r="T91" s="94"/>
    </row>
    <row r="92" spans="1:25">
      <c r="A92" s="283"/>
      <c r="B92" s="283" t="s">
        <v>4361</v>
      </c>
      <c r="C92" s="284">
        <f>C135</f>
        <v>20723</v>
      </c>
      <c r="D92" s="283">
        <v>1</v>
      </c>
      <c r="E92" s="60" t="s">
        <v>4357</v>
      </c>
      <c r="F92" s="49">
        <f>C136</f>
        <v>14300</v>
      </c>
      <c r="G92" s="60">
        <f>C92*D92*0.99114/(F92*1.0037158)</f>
        <v>1.4310039496497657</v>
      </c>
      <c r="H92" s="205">
        <f>C92/F92</f>
        <v>1.4491608391608393</v>
      </c>
      <c r="I92" s="312">
        <f>F92/C92</f>
        <v>0.6900545287844424</v>
      </c>
      <c r="J92" s="20"/>
      <c r="K92" s="20">
        <f>H92/H89</f>
        <v>1.0927932633036663</v>
      </c>
      <c r="L92" s="20">
        <f>(1/K92-1.0256)*100</f>
        <v>-11.051383175545892</v>
      </c>
      <c r="M92" s="20"/>
      <c r="N92" s="20"/>
      <c r="O92" s="94"/>
      <c r="P92" s="94"/>
      <c r="Q92" s="94"/>
      <c r="R92" s="94"/>
      <c r="S92" s="94"/>
      <c r="T92" s="94"/>
    </row>
    <row r="93" spans="1:25">
      <c r="A93" s="291"/>
      <c r="B93" s="291"/>
      <c r="C93" s="292"/>
      <c r="D93" s="291"/>
      <c r="E93" s="291"/>
      <c r="F93" s="292"/>
      <c r="G93" s="291"/>
      <c r="H93" s="293"/>
      <c r="I93" s="298"/>
      <c r="J93" s="291"/>
      <c r="K93" s="291"/>
      <c r="L93" s="291"/>
      <c r="M93" s="291"/>
      <c r="N93" s="97"/>
      <c r="O93" s="94"/>
      <c r="P93" s="94"/>
      <c r="Q93" s="94"/>
      <c r="R93" s="97" t="s">
        <v>1071</v>
      </c>
      <c r="S93" s="97"/>
      <c r="T93" s="97"/>
      <c r="U93" s="97"/>
      <c r="V93" s="97"/>
      <c r="W93" s="97"/>
      <c r="X93" s="97"/>
      <c r="Y93" s="97"/>
    </row>
    <row r="94" spans="1:25" ht="19.5">
      <c r="A94" s="283" t="s">
        <v>5785</v>
      </c>
      <c r="B94" s="283" t="s">
        <v>4361</v>
      </c>
      <c r="C94" s="284">
        <v>21532</v>
      </c>
      <c r="D94" s="283">
        <v>29643</v>
      </c>
      <c r="E94" s="285" t="s">
        <v>4219</v>
      </c>
      <c r="F94" s="287">
        <f>1304.9/(1+$F$134)</f>
        <v>1216.357167090755</v>
      </c>
      <c r="G94" s="317">
        <f t="shared" ref="G94" si="17">C94*D94*0.99114/(F94*1.0037158)</f>
        <v>518166.87898051611</v>
      </c>
      <c r="H94" s="318">
        <f t="shared" ref="H94" si="18">C94/F94</f>
        <v>17.702037347713883</v>
      </c>
      <c r="I94" s="297">
        <f t="shared" ref="I94" si="19">F94/C94</f>
        <v>5.649067281677294E-2</v>
      </c>
      <c r="J94" s="97"/>
      <c r="K94" s="299">
        <v>1</v>
      </c>
      <c r="L94" s="307"/>
      <c r="M94" s="216" t="s">
        <v>5520</v>
      </c>
      <c r="N94" s="97"/>
      <c r="O94" s="94"/>
      <c r="P94" s="94" t="s">
        <v>25</v>
      </c>
      <c r="Q94" s="94"/>
      <c r="R94" s="97"/>
      <c r="S94" s="97"/>
      <c r="T94" s="97" t="s">
        <v>922</v>
      </c>
      <c r="U94" s="97" t="s">
        <v>925</v>
      </c>
      <c r="V94" s="97" t="s">
        <v>5402</v>
      </c>
      <c r="W94" s="67" t="s">
        <v>1220</v>
      </c>
      <c r="X94" s="67" t="s">
        <v>926</v>
      </c>
      <c r="Y94" s="67" t="s">
        <v>5419</v>
      </c>
    </row>
    <row r="95" spans="1:25" ht="19.5">
      <c r="A95" s="283" t="s">
        <v>5788</v>
      </c>
      <c r="B95" s="283" t="s">
        <v>4361</v>
      </c>
      <c r="C95" s="284">
        <v>21532</v>
      </c>
      <c r="D95" s="283">
        <v>7188</v>
      </c>
      <c r="E95" s="285" t="s">
        <v>4219</v>
      </c>
      <c r="F95" s="287">
        <f>1285/(1+$F$134)</f>
        <v>1197.8074639525021</v>
      </c>
      <c r="G95" s="317">
        <f t="shared" ref="G95:G100" si="20">C95*D95*0.99114/(F95*1.0037158)</f>
        <v>127593.82811680748</v>
      </c>
      <c r="H95" s="318">
        <f t="shared" ref="H95:H100" si="21">C95/F95</f>
        <v>17.97617784827381</v>
      </c>
      <c r="I95" s="297">
        <f t="shared" ref="I95:I100" si="22">F95/C95</f>
        <v>5.5629178151240112E-2</v>
      </c>
      <c r="J95" s="97"/>
      <c r="K95" s="299">
        <f>H95/H94</f>
        <v>1.0154863813229571</v>
      </c>
      <c r="L95" s="60"/>
      <c r="M95" s="60" t="s">
        <v>5521</v>
      </c>
      <c r="N95" s="97"/>
      <c r="O95" s="94"/>
      <c r="P95" s="94"/>
      <c r="Q95" s="94"/>
      <c r="R95" s="97"/>
      <c r="S95" s="97" t="s">
        <v>4361</v>
      </c>
      <c r="T95" s="97">
        <v>874</v>
      </c>
      <c r="U95" s="115">
        <v>6337102</v>
      </c>
      <c r="V95" s="115">
        <f>U95/T95</f>
        <v>7250.6887871853551</v>
      </c>
      <c r="W95" s="115">
        <f>V95*1.01</f>
        <v>7323.195675057209</v>
      </c>
      <c r="X95" s="97">
        <f>'برنامه 5 ساله'!P47</f>
        <v>21200</v>
      </c>
      <c r="Y95" s="115">
        <f>T95*X95</f>
        <v>18528800</v>
      </c>
    </row>
    <row r="96" spans="1:25" ht="19.5">
      <c r="A96" s="283" t="s">
        <v>5789</v>
      </c>
      <c r="B96" s="283" t="s">
        <v>4361</v>
      </c>
      <c r="C96" s="284">
        <v>21532</v>
      </c>
      <c r="D96" s="283">
        <v>2917</v>
      </c>
      <c r="E96" s="285" t="s">
        <v>4219</v>
      </c>
      <c r="F96" s="287">
        <f>1274.7/(1+$F$134)</f>
        <v>1188.2063613231553</v>
      </c>
      <c r="G96" s="317">
        <f t="shared" si="20"/>
        <v>52197.91670650219</v>
      </c>
      <c r="H96" s="318">
        <f t="shared" si="21"/>
        <v>18.121431344655093</v>
      </c>
      <c r="I96" s="297">
        <f t="shared" si="22"/>
        <v>5.5183278902245739E-2</v>
      </c>
      <c r="J96" s="97"/>
      <c r="K96" s="299">
        <f t="shared" ref="K96:K100" si="23">H96/H95</f>
        <v>1.0080803326272849</v>
      </c>
      <c r="L96" s="23"/>
      <c r="M96" s="23" t="s">
        <v>5522</v>
      </c>
      <c r="N96" s="97"/>
      <c r="O96" s="94"/>
      <c r="R96" s="97"/>
      <c r="S96" s="97" t="s">
        <v>4219</v>
      </c>
      <c r="T96" s="97">
        <v>295000</v>
      </c>
      <c r="U96" s="115">
        <v>148594302</v>
      </c>
      <c r="V96" s="115">
        <f>U96/T96</f>
        <v>503.70949830508476</v>
      </c>
      <c r="W96" s="115">
        <f>V96*1.01</f>
        <v>508.74659328813561</v>
      </c>
      <c r="X96" s="97">
        <f>'برنامه 5 ساله'!P30</f>
        <v>1055</v>
      </c>
      <c r="Y96" s="115">
        <f>T96*X96</f>
        <v>311225000</v>
      </c>
    </row>
    <row r="97" spans="1:27" ht="19.5">
      <c r="A97" s="283" t="s">
        <v>5785</v>
      </c>
      <c r="B97" s="283" t="s">
        <v>4361</v>
      </c>
      <c r="C97" s="284">
        <v>21532</v>
      </c>
      <c r="D97" s="283">
        <v>18100</v>
      </c>
      <c r="E97" s="285" t="s">
        <v>4219</v>
      </c>
      <c r="F97" s="287">
        <f>1270.4/(1+$F$134)</f>
        <v>1184.1981340118746</v>
      </c>
      <c r="G97" s="317">
        <f t="shared" si="20"/>
        <v>324984.62611107883</v>
      </c>
      <c r="H97" s="318">
        <f t="shared" si="21"/>
        <v>18.182768053394085</v>
      </c>
      <c r="I97" s="297">
        <f t="shared" si="22"/>
        <v>5.4997126788587897E-2</v>
      </c>
      <c r="J97" s="97"/>
      <c r="K97" s="299">
        <f t="shared" si="23"/>
        <v>1.0033847607052897</v>
      </c>
      <c r="L97" s="36"/>
      <c r="M97" s="97"/>
      <c r="N97" s="97"/>
      <c r="R97" s="97"/>
      <c r="S97" s="97" t="s">
        <v>4374</v>
      </c>
      <c r="T97" s="97">
        <v>2850</v>
      </c>
      <c r="U97" s="115">
        <v>4015726</v>
      </c>
      <c r="V97" s="115">
        <f>U97/T97</f>
        <v>1409.0266666666666</v>
      </c>
      <c r="W97" s="115">
        <f>V97*1.01</f>
        <v>1423.1169333333332</v>
      </c>
      <c r="X97" s="97">
        <v>2600</v>
      </c>
      <c r="Y97" s="115">
        <f>T97*X97</f>
        <v>7410000</v>
      </c>
      <c r="Z97" t="s">
        <v>25</v>
      </c>
    </row>
    <row r="98" spans="1:27" ht="19.5">
      <c r="A98" s="283" t="s">
        <v>5825</v>
      </c>
      <c r="B98" s="283" t="s">
        <v>4361</v>
      </c>
      <c r="C98" s="284">
        <v>17601</v>
      </c>
      <c r="D98" s="283">
        <v>617</v>
      </c>
      <c r="E98" s="285" t="s">
        <v>4219</v>
      </c>
      <c r="F98" s="287">
        <f>1053/(1+$F$134)</f>
        <v>981.54961832061076</v>
      </c>
      <c r="G98" s="317">
        <f t="shared" si="20"/>
        <v>10925.328179683062</v>
      </c>
      <c r="H98" s="318">
        <f t="shared" si="21"/>
        <v>17.931849466881314</v>
      </c>
      <c r="I98" s="297">
        <f t="shared" si="22"/>
        <v>5.5766696115028165E-2</v>
      </c>
      <c r="J98" s="97"/>
      <c r="K98" s="299">
        <f t="shared" si="23"/>
        <v>0.98620019868394382</v>
      </c>
      <c r="L98" s="36"/>
      <c r="M98" s="97"/>
      <c r="N98" s="97"/>
      <c r="R98" s="97" t="s">
        <v>5401</v>
      </c>
      <c r="S98" s="97" t="s">
        <v>5305</v>
      </c>
      <c r="T98" s="97">
        <v>0</v>
      </c>
      <c r="U98" s="115">
        <v>683292</v>
      </c>
      <c r="V98" s="115"/>
      <c r="W98" s="115"/>
      <c r="X98" s="97" t="e">
        <f>'برنامه 5 ساله'!#REF!</f>
        <v>#REF!</v>
      </c>
      <c r="Y98" s="115">
        <f>U98</f>
        <v>683292</v>
      </c>
    </row>
    <row r="99" spans="1:27" ht="19.5">
      <c r="A99" s="283"/>
      <c r="B99" s="283"/>
      <c r="C99" s="284"/>
      <c r="D99" s="283"/>
      <c r="E99" s="285"/>
      <c r="F99" s="287"/>
      <c r="G99" s="317" t="e">
        <f t="shared" si="20"/>
        <v>#DIV/0!</v>
      </c>
      <c r="H99" s="318" t="e">
        <f t="shared" si="21"/>
        <v>#DIV/0!</v>
      </c>
      <c r="I99" s="297" t="e">
        <f t="shared" si="22"/>
        <v>#DIV/0!</v>
      </c>
      <c r="J99" s="97" t="s">
        <v>25</v>
      </c>
      <c r="K99" s="299" t="e">
        <f t="shared" si="23"/>
        <v>#DIV/0!</v>
      </c>
      <c r="L99" s="97"/>
      <c r="M99" s="97"/>
      <c r="N99" s="97"/>
      <c r="O99" t="s">
        <v>25</v>
      </c>
      <c r="R99" s="97" t="s">
        <v>5401</v>
      </c>
      <c r="S99" s="97" t="s">
        <v>4517</v>
      </c>
      <c r="T99" s="97">
        <v>0</v>
      </c>
      <c r="U99" s="115">
        <v>270969</v>
      </c>
      <c r="V99" s="115"/>
      <c r="W99" s="115"/>
      <c r="X99" s="97">
        <v>1500</v>
      </c>
      <c r="Y99" s="115">
        <f>U99</f>
        <v>270969</v>
      </c>
      <c r="AA99" t="s">
        <v>25</v>
      </c>
    </row>
    <row r="100" spans="1:27" ht="19.5">
      <c r="A100" s="283"/>
      <c r="B100" s="283"/>
      <c r="C100" s="284"/>
      <c r="D100" s="283" t="s">
        <v>25</v>
      </c>
      <c r="E100" s="285"/>
      <c r="F100" s="287"/>
      <c r="G100" s="317" t="e">
        <f t="shared" si="20"/>
        <v>#VALUE!</v>
      </c>
      <c r="H100" s="318" t="e">
        <f t="shared" si="21"/>
        <v>#DIV/0!</v>
      </c>
      <c r="I100" s="297" t="e">
        <f t="shared" si="22"/>
        <v>#DIV/0!</v>
      </c>
      <c r="J100" s="97"/>
      <c r="K100" s="299" t="e">
        <f t="shared" si="23"/>
        <v>#DIV/0!</v>
      </c>
      <c r="L100" s="304" t="s">
        <v>5453</v>
      </c>
      <c r="M100" s="291"/>
      <c r="N100" s="97"/>
      <c r="R100" s="97"/>
      <c r="S100" s="97"/>
      <c r="T100" s="97"/>
      <c r="U100" s="115"/>
      <c r="V100" s="115"/>
      <c r="W100" s="97"/>
      <c r="X100" s="97"/>
      <c r="Y100" s="97"/>
    </row>
    <row r="101" spans="1:27" ht="18.75">
      <c r="A101" s="283" t="s">
        <v>5459</v>
      </c>
      <c r="B101" s="283" t="s">
        <v>4361</v>
      </c>
      <c r="C101" s="323">
        <f>C135</f>
        <v>20723</v>
      </c>
      <c r="D101" s="283">
        <v>1</v>
      </c>
      <c r="E101" s="285" t="s">
        <v>4219</v>
      </c>
      <c r="F101" s="305">
        <f>C134</f>
        <v>1055</v>
      </c>
      <c r="G101" s="285">
        <f t="shared" ref="G101" si="24">C101*D101*0.99114/(F101*1.0037158)</f>
        <v>19.396546426532367</v>
      </c>
      <c r="H101" s="286">
        <f>C101/F101</f>
        <v>19.64265402843602</v>
      </c>
      <c r="I101" s="286">
        <f>F101/C101</f>
        <v>5.0909617333397675E-2</v>
      </c>
      <c r="J101" s="97"/>
      <c r="K101" s="300">
        <f>H101/H98</f>
        <v>1.0954059180964253</v>
      </c>
      <c r="L101" s="301">
        <f>(1/K101-1.0256)*100</f>
        <v>-11.269640556098137</v>
      </c>
      <c r="M101" s="97"/>
      <c r="N101" s="97"/>
      <c r="P101" t="s">
        <v>25</v>
      </c>
      <c r="R101" s="97"/>
      <c r="S101" s="97"/>
      <c r="T101" s="97"/>
      <c r="U101" s="115"/>
      <c r="V101" s="115"/>
      <c r="W101" s="97"/>
      <c r="X101" s="97"/>
      <c r="Y101" s="97"/>
    </row>
    <row r="102" spans="1:27">
      <c r="A102" s="291"/>
      <c r="B102" s="291"/>
      <c r="C102" s="292"/>
      <c r="D102" s="291"/>
      <c r="E102" s="291"/>
      <c r="F102" s="292"/>
      <c r="G102" s="291"/>
      <c r="H102" s="293"/>
      <c r="I102" s="298"/>
      <c r="J102" s="291"/>
      <c r="K102" s="291"/>
      <c r="L102" s="291"/>
      <c r="M102" s="291"/>
      <c r="N102" s="20"/>
      <c r="O102" t="s">
        <v>25</v>
      </c>
      <c r="P102" t="s">
        <v>25</v>
      </c>
      <c r="Q102" t="s">
        <v>25</v>
      </c>
      <c r="R102" s="97"/>
      <c r="S102" s="97"/>
      <c r="T102" s="97"/>
      <c r="U102" s="115">
        <v>159900000</v>
      </c>
      <c r="V102" s="115"/>
      <c r="W102" s="97"/>
      <c r="X102" s="97"/>
      <c r="Y102" s="93">
        <f>SUM(Y95:Y99)</f>
        <v>338118061</v>
      </c>
    </row>
    <row r="103" spans="1:27">
      <c r="A103" s="60" t="s">
        <v>5734</v>
      </c>
      <c r="B103" s="60" t="s">
        <v>4357</v>
      </c>
      <c r="C103" s="49">
        <v>16290.07</v>
      </c>
      <c r="D103" s="60">
        <v>828</v>
      </c>
      <c r="E103" s="285" t="s">
        <v>4219</v>
      </c>
      <c r="F103" s="287">
        <f>1250/(1+$F$134)</f>
        <v>1165.1823579304496</v>
      </c>
      <c r="G103" s="285">
        <f t="shared" ref="G103" si="25">C103*D103*0.99114/(F103*1.0037158)</f>
        <v>11430.984342310247</v>
      </c>
      <c r="H103" s="286">
        <f t="shared" ref="H103" si="26">C103/F103</f>
        <v>13.980704298453139</v>
      </c>
      <c r="I103" s="297">
        <f t="shared" ref="I103" si="27">F103/C103</f>
        <v>7.1527154759338032E-2</v>
      </c>
      <c r="J103" s="20" t="s">
        <v>25</v>
      </c>
      <c r="K103" s="20">
        <v>1</v>
      </c>
      <c r="L103" s="20"/>
      <c r="M103" s="20"/>
      <c r="N103" s="20"/>
      <c r="R103" s="97"/>
      <c r="S103" s="97"/>
      <c r="T103" s="97"/>
      <c r="U103" s="115"/>
      <c r="V103" s="115"/>
      <c r="W103" s="97"/>
      <c r="X103" s="97"/>
      <c r="Y103" s="97"/>
    </row>
    <row r="104" spans="1:27">
      <c r="A104" s="60" t="s">
        <v>5829</v>
      </c>
      <c r="B104" s="60" t="s">
        <v>4357</v>
      </c>
      <c r="C104" s="49">
        <v>13371</v>
      </c>
      <c r="D104" s="60">
        <v>598</v>
      </c>
      <c r="E104" s="285" t="s">
        <v>4219</v>
      </c>
      <c r="F104" s="287">
        <f>1248/(1+$F$134)</f>
        <v>1163.3180661577608</v>
      </c>
      <c r="G104" s="285">
        <f>C104*D104*0.99114/(F104*1.0037158)</f>
        <v>6787.2030660711607</v>
      </c>
      <c r="H104" s="286">
        <f t="shared" ref="H104" si="28">C104/F104</f>
        <v>11.493847116259538</v>
      </c>
      <c r="I104" s="297">
        <f t="shared" ref="I104" si="29">F104/C104</f>
        <v>8.7003071285450664E-2</v>
      </c>
      <c r="J104" s="20"/>
      <c r="K104" s="20">
        <f>H104/H103</f>
        <v>0.82212218146486704</v>
      </c>
      <c r="L104" s="20"/>
      <c r="M104" s="20"/>
      <c r="N104" s="20"/>
      <c r="O104" t="s">
        <v>25</v>
      </c>
      <c r="P104" t="s">
        <v>25</v>
      </c>
      <c r="R104" s="97"/>
      <c r="S104" s="97"/>
      <c r="T104" s="97"/>
      <c r="U104" s="97"/>
      <c r="V104" s="97"/>
      <c r="W104" s="97"/>
      <c r="X104" s="97"/>
      <c r="Y104" s="97"/>
    </row>
    <row r="105" spans="1:27">
      <c r="A105" s="60" t="s">
        <v>5831</v>
      </c>
      <c r="B105" s="60" t="s">
        <v>4357</v>
      </c>
      <c r="C105" s="49">
        <v>13248</v>
      </c>
      <c r="D105" s="60">
        <v>1000</v>
      </c>
      <c r="E105" s="285" t="s">
        <v>4219</v>
      </c>
      <c r="F105" s="287">
        <f>1225/(1+$F$134)</f>
        <v>1141.8787107718406</v>
      </c>
      <c r="G105" s="285">
        <f t="shared" ref="G105:G106" si="30">C105*D105*0.99114/(F105*1.0037158)</f>
        <v>11456.569296069345</v>
      </c>
      <c r="H105" s="286">
        <f t="shared" ref="H105:H106" si="31">C105/F105</f>
        <v>11.601932740339084</v>
      </c>
      <c r="I105" s="297">
        <f t="shared" ref="I105:I106" si="32">F105/C105</f>
        <v>8.6192535535314058E-2</v>
      </c>
      <c r="J105" s="20"/>
      <c r="K105" s="20">
        <f t="shared" ref="K105" si="33">H105/H104</f>
        <v>1.0094037812567251</v>
      </c>
      <c r="L105" s="20"/>
      <c r="M105" s="20"/>
      <c r="N105" s="20"/>
      <c r="R105" s="97"/>
      <c r="S105" s="97"/>
      <c r="T105" s="97"/>
      <c r="U105" s="97"/>
      <c r="V105" s="97"/>
      <c r="W105" s="97"/>
      <c r="X105" s="97"/>
      <c r="Y105" s="97"/>
    </row>
    <row r="106" spans="1:27">
      <c r="A106" s="60" t="s">
        <v>5832</v>
      </c>
      <c r="B106" s="60" t="s">
        <v>4357</v>
      </c>
      <c r="C106" s="49">
        <v>13248</v>
      </c>
      <c r="D106" s="60">
        <v>1000</v>
      </c>
      <c r="E106" s="285" t="s">
        <v>4219</v>
      </c>
      <c r="F106" s="287">
        <f>1213.2/(1+$F$134)</f>
        <v>1130.8793893129771</v>
      </c>
      <c r="G106" s="285">
        <f t="shared" si="30"/>
        <v>11567.999824995837</v>
      </c>
      <c r="H106" s="286">
        <f t="shared" si="31"/>
        <v>11.714777124064769</v>
      </c>
      <c r="I106" s="297">
        <f t="shared" si="32"/>
        <v>8.53622727440351E-2</v>
      </c>
      <c r="J106" s="20"/>
      <c r="K106" s="20">
        <f>H106/H105</f>
        <v>1.0097263435542367</v>
      </c>
      <c r="L106" s="20"/>
      <c r="M106" s="20"/>
      <c r="N106" s="20"/>
      <c r="P106" t="s">
        <v>25</v>
      </c>
    </row>
    <row r="107" spans="1:27">
      <c r="A107" s="60" t="s">
        <v>5835</v>
      </c>
      <c r="B107" s="60" t="s">
        <v>4357</v>
      </c>
      <c r="C107" s="49">
        <v>12698</v>
      </c>
      <c r="D107" s="60">
        <v>1000</v>
      </c>
      <c r="E107" s="285" t="s">
        <v>4219</v>
      </c>
      <c r="F107" s="287">
        <f>1148/(1+$F$134)</f>
        <v>1070.103477523325</v>
      </c>
      <c r="G107" s="285">
        <f t="shared" ref="G107:G117" si="34">C107*D107*0.99114/(F107*1.0037158)</f>
        <v>11717.468380528906</v>
      </c>
      <c r="H107" s="286">
        <f t="shared" ref="H107:H117" si="35">C107/F107</f>
        <v>11.866142169155994</v>
      </c>
      <c r="I107" s="297">
        <f t="shared" ref="I107:I117" si="36">F107/C107</f>
        <v>8.4273387740063391E-2</v>
      </c>
      <c r="J107" s="20"/>
      <c r="K107" s="20">
        <f t="shared" ref="K107:K117" si="37">H107/H106</f>
        <v>1.0129208642629903</v>
      </c>
      <c r="L107" s="20"/>
      <c r="M107" s="20"/>
      <c r="N107" s="20"/>
      <c r="P107" t="s">
        <v>25</v>
      </c>
    </row>
    <row r="108" spans="1:27">
      <c r="A108" s="322" t="s">
        <v>5835</v>
      </c>
      <c r="B108" s="60" t="s">
        <v>4357</v>
      </c>
      <c r="C108" s="49">
        <v>12748</v>
      </c>
      <c r="D108" s="60">
        <v>1000</v>
      </c>
      <c r="E108" s="285" t="s">
        <v>4219</v>
      </c>
      <c r="F108" s="287">
        <f>1162/(1+$F$134)</f>
        <v>1083.1535199321459</v>
      </c>
      <c r="G108" s="285">
        <f t="shared" si="34"/>
        <v>11621.877202015083</v>
      </c>
      <c r="H108" s="286">
        <f t="shared" si="35"/>
        <v>11.769338108967784</v>
      </c>
      <c r="I108" s="297">
        <f t="shared" si="36"/>
        <v>8.4966545335122837E-2</v>
      </c>
      <c r="J108" s="20"/>
      <c r="K108" s="20">
        <f t="shared" si="37"/>
        <v>0.99184199390094652</v>
      </c>
      <c r="L108" s="20"/>
      <c r="M108" s="20" t="s">
        <v>25</v>
      </c>
      <c r="N108" s="20"/>
      <c r="P108" t="s">
        <v>25</v>
      </c>
      <c r="R108" s="97" t="s">
        <v>744</v>
      </c>
      <c r="S108" s="97"/>
      <c r="T108" s="97"/>
      <c r="U108" s="97"/>
      <c r="V108" s="97"/>
      <c r="W108" s="97" t="s">
        <v>1220</v>
      </c>
      <c r="X108" s="97" t="s">
        <v>926</v>
      </c>
      <c r="Y108" s="67" t="s">
        <v>5419</v>
      </c>
      <c r="Z108" t="s">
        <v>25</v>
      </c>
    </row>
    <row r="109" spans="1:27">
      <c r="A109" s="322" t="s">
        <v>5837</v>
      </c>
      <c r="B109" s="60" t="s">
        <v>4357</v>
      </c>
      <c r="C109" s="49">
        <v>12771</v>
      </c>
      <c r="D109" s="60">
        <v>1580</v>
      </c>
      <c r="E109" s="285" t="s">
        <v>4219</v>
      </c>
      <c r="F109" s="287">
        <f>1135/(1+$F$134)</f>
        <v>1057.9855810008482</v>
      </c>
      <c r="G109" s="285">
        <f t="shared" si="34"/>
        <v>18833.302665400188</v>
      </c>
      <c r="H109" s="286">
        <f t="shared" si="35"/>
        <v>12.071052979681166</v>
      </c>
      <c r="I109" s="297">
        <f t="shared" si="36"/>
        <v>8.2842814266764403E-2</v>
      </c>
      <c r="J109" s="20"/>
      <c r="K109" s="20">
        <f t="shared" si="37"/>
        <v>1.0256356702407494</v>
      </c>
      <c r="L109" s="20"/>
      <c r="M109" s="20"/>
      <c r="N109" s="20"/>
      <c r="O109" t="s">
        <v>25</v>
      </c>
      <c r="P109" t="s">
        <v>25</v>
      </c>
      <c r="R109" s="97"/>
      <c r="S109" s="97" t="s">
        <v>4361</v>
      </c>
      <c r="T109" s="97">
        <v>4279</v>
      </c>
      <c r="U109" s="115">
        <v>32796123</v>
      </c>
      <c r="V109" s="115">
        <f>U109/T109</f>
        <v>7664.436316896471</v>
      </c>
      <c r="W109" s="115">
        <f>V109*1.01</f>
        <v>7741.0806800654354</v>
      </c>
      <c r="X109" s="97">
        <f>X95</f>
        <v>21200</v>
      </c>
      <c r="Y109" s="97">
        <f>T109*X109</f>
        <v>90714800</v>
      </c>
    </row>
    <row r="110" spans="1:27">
      <c r="A110" s="322" t="s">
        <v>5845</v>
      </c>
      <c r="B110" s="60" t="s">
        <v>4357</v>
      </c>
      <c r="C110" s="49">
        <v>12777.5</v>
      </c>
      <c r="D110" s="60">
        <v>948</v>
      </c>
      <c r="E110" s="285" t="s">
        <v>4219</v>
      </c>
      <c r="F110" s="287">
        <f>1114/(1+$F$134)</f>
        <v>1038.4105173876167</v>
      </c>
      <c r="G110" s="285">
        <f t="shared" si="34"/>
        <v>11518.857130282251</v>
      </c>
      <c r="H110" s="286">
        <f t="shared" si="35"/>
        <v>12.304863814500859</v>
      </c>
      <c r="I110" s="297">
        <f t="shared" si="36"/>
        <v>8.1268676766786674E-2</v>
      </c>
      <c r="J110" s="20"/>
      <c r="K110" s="20">
        <f t="shared" si="37"/>
        <v>1.0193695475625248</v>
      </c>
      <c r="L110" s="20"/>
      <c r="M110" s="20"/>
      <c r="N110" s="20"/>
      <c r="P110" t="s">
        <v>25</v>
      </c>
      <c r="R110" s="97"/>
      <c r="S110" s="97" t="s">
        <v>4374</v>
      </c>
      <c r="T110" s="97">
        <v>70500</v>
      </c>
      <c r="U110" s="115">
        <v>100609967</v>
      </c>
      <c r="V110" s="115">
        <f>U110/T110</f>
        <v>1427.0917304964539</v>
      </c>
      <c r="W110" s="115">
        <f>V110*1.01</f>
        <v>1441.3626478014185</v>
      </c>
      <c r="X110" s="97">
        <f>X97</f>
        <v>2600</v>
      </c>
      <c r="Y110" s="97">
        <f>T110*X110</f>
        <v>183300000</v>
      </c>
    </row>
    <row r="111" spans="1:27">
      <c r="A111" s="322" t="s">
        <v>5850</v>
      </c>
      <c r="B111" s="60" t="s">
        <v>4357</v>
      </c>
      <c r="C111" s="49">
        <v>12782</v>
      </c>
      <c r="D111" s="60">
        <v>1648</v>
      </c>
      <c r="E111" s="285" t="s">
        <v>4219</v>
      </c>
      <c r="F111" s="287">
        <f>1093/(1+$F$134)</f>
        <v>1018.8354537743851</v>
      </c>
      <c r="G111" s="285">
        <f t="shared" si="34"/>
        <v>20416.261241460888</v>
      </c>
      <c r="H111" s="286">
        <f t="shared" si="35"/>
        <v>12.545696120651977</v>
      </c>
      <c r="I111" s="297">
        <f t="shared" si="36"/>
        <v>7.970861005901933E-2</v>
      </c>
      <c r="J111" s="20"/>
      <c r="K111" s="20">
        <f t="shared" si="37"/>
        <v>1.019572122843595</v>
      </c>
      <c r="L111" s="20"/>
      <c r="M111" s="20"/>
      <c r="N111" s="20"/>
      <c r="R111" s="97"/>
      <c r="S111" s="97" t="s">
        <v>4219</v>
      </c>
      <c r="T111" s="97">
        <v>12936</v>
      </c>
      <c r="U111" s="115">
        <v>6322162</v>
      </c>
      <c r="V111" s="115">
        <f>U111/T111</f>
        <v>488.72619047619048</v>
      </c>
      <c r="W111" s="115">
        <f>V111*1.01</f>
        <v>493.61345238095237</v>
      </c>
      <c r="X111" s="97">
        <f>X96</f>
        <v>1055</v>
      </c>
      <c r="Y111" s="97">
        <f>T111*X111</f>
        <v>13647480</v>
      </c>
    </row>
    <row r="112" spans="1:27">
      <c r="A112" s="322" t="s">
        <v>5850</v>
      </c>
      <c r="B112" s="60" t="s">
        <v>4357</v>
      </c>
      <c r="C112" s="49">
        <v>12905</v>
      </c>
      <c r="D112" s="60">
        <v>3000</v>
      </c>
      <c r="E112" s="285" t="s">
        <v>4219</v>
      </c>
      <c r="F112" s="287">
        <f>1095/(1+$F$134)</f>
        <v>1020.6997455470738</v>
      </c>
      <c r="G112" s="285">
        <f t="shared" si="34"/>
        <v>37454.629034328107</v>
      </c>
      <c r="H112" s="286">
        <f t="shared" si="35"/>
        <v>12.643287172647613</v>
      </c>
      <c r="I112" s="297">
        <f t="shared" si="36"/>
        <v>7.9093354943593472E-2</v>
      </c>
      <c r="J112" s="20"/>
      <c r="K112" s="20">
        <f t="shared" si="37"/>
        <v>1.0077788471087696</v>
      </c>
      <c r="L112" s="20"/>
      <c r="M112" s="20"/>
      <c r="N112" s="20"/>
      <c r="R112" s="97"/>
      <c r="S112" s="97" t="s">
        <v>5305</v>
      </c>
      <c r="T112" s="97">
        <v>4687</v>
      </c>
      <c r="U112" s="115">
        <v>1911597</v>
      </c>
      <c r="V112" s="115">
        <f>U112/T112</f>
        <v>407.85086409216984</v>
      </c>
      <c r="W112" s="115">
        <f>V112*1.01</f>
        <v>411.92937273309155</v>
      </c>
      <c r="X112" s="97" t="e">
        <f>X98</f>
        <v>#REF!</v>
      </c>
      <c r="Y112" s="97" t="e">
        <f>T112*X112</f>
        <v>#REF!</v>
      </c>
    </row>
    <row r="113" spans="1:25">
      <c r="A113" s="322" t="s">
        <v>5445</v>
      </c>
      <c r="B113" s="60" t="s">
        <v>4357</v>
      </c>
      <c r="C113" s="49">
        <v>12717</v>
      </c>
      <c r="D113" s="60">
        <v>175</v>
      </c>
      <c r="E113" s="285" t="s">
        <v>4219</v>
      </c>
      <c r="F113" s="287">
        <f>1060/(1+$F$134)</f>
        <v>988.07463952502121</v>
      </c>
      <c r="G113" s="285">
        <f t="shared" si="34"/>
        <v>2224.1148524275759</v>
      </c>
      <c r="H113" s="286">
        <f t="shared" si="35"/>
        <v>12.870485175202155</v>
      </c>
      <c r="I113" s="297">
        <f t="shared" si="36"/>
        <v>7.7697148661242527E-2</v>
      </c>
      <c r="J113" s="20"/>
      <c r="K113" s="20">
        <f t="shared" si="37"/>
        <v>1.0179698522585219</v>
      </c>
      <c r="L113" s="20"/>
      <c r="M113" s="20"/>
      <c r="N113" s="20"/>
      <c r="R113" s="97" t="s">
        <v>5401</v>
      </c>
      <c r="S113" s="97" t="s">
        <v>4517</v>
      </c>
      <c r="T113" s="97">
        <v>0</v>
      </c>
      <c r="U113" s="115">
        <v>180438</v>
      </c>
      <c r="V113" s="115"/>
      <c r="W113" s="115"/>
      <c r="X113" s="97">
        <f>X99</f>
        <v>1500</v>
      </c>
      <c r="Y113" s="93">
        <f>U113</f>
        <v>180438</v>
      </c>
    </row>
    <row r="114" spans="1:25">
      <c r="A114" s="322" t="s">
        <v>5896</v>
      </c>
      <c r="B114" s="60" t="s">
        <v>4357</v>
      </c>
      <c r="C114" s="49">
        <v>16189.1</v>
      </c>
      <c r="D114" s="60">
        <v>9477</v>
      </c>
      <c r="E114" s="285" t="s">
        <v>4219</v>
      </c>
      <c r="F114" s="287">
        <v>1179.0999999999999</v>
      </c>
      <c r="G114" s="285">
        <f t="shared" ref="G114:G116" si="38">C114*D114*0.99114/(F114*1.0037158)</f>
        <v>128489.36708680206</v>
      </c>
      <c r="H114" s="286">
        <f t="shared" ref="H114:H116" si="39">C114/F114</f>
        <v>13.73004834195573</v>
      </c>
      <c r="I114" s="297">
        <f t="shared" ref="I114:I116" si="40">F114/C114</f>
        <v>7.283295550710045E-2</v>
      </c>
      <c r="J114" s="20"/>
      <c r="K114" s="20">
        <f t="shared" ref="K114:K116" si="41">H114/H113</f>
        <v>1.0667856071509809</v>
      </c>
      <c r="L114" s="20"/>
      <c r="M114" s="20"/>
      <c r="N114" s="20"/>
      <c r="R114" s="97"/>
      <c r="S114" s="97"/>
      <c r="T114" s="97"/>
      <c r="U114" s="115"/>
      <c r="V114" s="115"/>
      <c r="W114" s="115"/>
      <c r="X114" s="97"/>
      <c r="Y114" s="97"/>
    </row>
    <row r="115" spans="1:25" ht="27" customHeight="1">
      <c r="A115" s="322"/>
      <c r="B115" s="60"/>
      <c r="C115" s="49"/>
      <c r="D115" s="60"/>
      <c r="E115" s="285"/>
      <c r="F115" s="287"/>
      <c r="G115" s="285" t="e">
        <f t="shared" si="38"/>
        <v>#DIV/0!</v>
      </c>
      <c r="H115" s="286" t="e">
        <f t="shared" si="39"/>
        <v>#DIV/0!</v>
      </c>
      <c r="I115" s="297" t="e">
        <f t="shared" si="40"/>
        <v>#DIV/0!</v>
      </c>
      <c r="J115" s="20"/>
      <c r="K115" s="20" t="e">
        <f t="shared" si="41"/>
        <v>#DIV/0!</v>
      </c>
      <c r="L115" s="20"/>
      <c r="M115" s="20"/>
      <c r="N115" s="20"/>
      <c r="P115" t="s">
        <v>25</v>
      </c>
      <c r="R115" s="97"/>
      <c r="S115" s="97"/>
      <c r="T115" s="97"/>
      <c r="U115" s="115">
        <v>141800000</v>
      </c>
      <c r="V115" s="115"/>
      <c r="W115" s="115"/>
      <c r="X115" s="97"/>
      <c r="Y115" s="93" t="e">
        <f>SUM(Y109:Y113)</f>
        <v>#REF!</v>
      </c>
    </row>
    <row r="116" spans="1:25">
      <c r="A116" s="60"/>
      <c r="B116" s="60"/>
      <c r="C116" s="49" t="s">
        <v>25</v>
      </c>
      <c r="D116" s="60"/>
      <c r="E116" s="285"/>
      <c r="F116" s="287"/>
      <c r="G116" s="285" t="e">
        <f t="shared" si="38"/>
        <v>#VALUE!</v>
      </c>
      <c r="H116" s="286" t="e">
        <f t="shared" si="39"/>
        <v>#VALUE!</v>
      </c>
      <c r="I116" s="297" t="e">
        <f t="shared" si="40"/>
        <v>#VALUE!</v>
      </c>
      <c r="J116" s="20"/>
      <c r="K116" s="20" t="e">
        <f t="shared" si="41"/>
        <v>#VALUE!</v>
      </c>
      <c r="L116" s="20" t="s">
        <v>25</v>
      </c>
      <c r="M116" s="20"/>
      <c r="N116" s="20"/>
    </row>
    <row r="117" spans="1:25">
      <c r="A117" s="60"/>
      <c r="B117" s="60"/>
      <c r="C117" s="49"/>
      <c r="D117" s="60"/>
      <c r="E117" s="285"/>
      <c r="F117" s="287"/>
      <c r="G117" s="285" t="e">
        <f t="shared" si="34"/>
        <v>#DIV/0!</v>
      </c>
      <c r="H117" s="286" t="e">
        <f t="shared" si="35"/>
        <v>#DIV/0!</v>
      </c>
      <c r="I117" s="297" t="e">
        <f t="shared" si="36"/>
        <v>#DIV/0!</v>
      </c>
      <c r="J117" s="20"/>
      <c r="K117" s="20" t="e">
        <f t="shared" si="37"/>
        <v>#DIV/0!</v>
      </c>
      <c r="L117" s="20"/>
      <c r="M117" s="20"/>
      <c r="N117" s="20"/>
    </row>
    <row r="118" spans="1:25">
      <c r="A118" s="60"/>
      <c r="B118" s="60" t="s">
        <v>4357</v>
      </c>
      <c r="C118" s="49">
        <f>C136</f>
        <v>14300</v>
      </c>
      <c r="D118" s="60">
        <v>1</v>
      </c>
      <c r="E118" s="285" t="s">
        <v>4219</v>
      </c>
      <c r="F118" s="287">
        <f>C134</f>
        <v>1055</v>
      </c>
      <c r="G118" s="285">
        <f t="shared" ref="G118" si="42">C118*D118*0.99114/(F118*1.0037158)</f>
        <v>13.384674704406352</v>
      </c>
      <c r="H118" s="286">
        <f>C118/F118</f>
        <v>13.554502369668246</v>
      </c>
      <c r="I118" s="297">
        <f t="shared" ref="I118" si="43">F118/C118</f>
        <v>7.3776223776223782E-2</v>
      </c>
      <c r="J118" s="20"/>
      <c r="K118" s="20">
        <f>H118/H114</f>
        <v>0.98721446801093504</v>
      </c>
      <c r="L118" s="97">
        <f>(1/K118-1.0256)*100</f>
        <v>-1.2648881065503881</v>
      </c>
      <c r="M118" s="97"/>
      <c r="N118" s="97"/>
      <c r="P118" t="s">
        <v>25</v>
      </c>
      <c r="Q118" t="s">
        <v>25</v>
      </c>
      <c r="R118" t="s">
        <v>25</v>
      </c>
      <c r="W118" t="s">
        <v>5420</v>
      </c>
      <c r="X118" s="112" t="e">
        <f>Y102+Y115-U102-U115</f>
        <v>#REF!</v>
      </c>
    </row>
    <row r="119" spans="1:25">
      <c r="R119" t="s">
        <v>25</v>
      </c>
    </row>
    <row r="120" spans="1:25">
      <c r="A120" s="97"/>
      <c r="B120" s="97"/>
      <c r="C120" s="97"/>
      <c r="D120" s="97"/>
      <c r="E120" s="97"/>
      <c r="F120" s="97"/>
      <c r="G120" s="97"/>
      <c r="H120" s="97"/>
      <c r="I120" s="97"/>
      <c r="J120" s="97"/>
      <c r="K120" s="97"/>
      <c r="L120" s="94"/>
      <c r="P120" t="s">
        <v>25</v>
      </c>
      <c r="Q120" t="s">
        <v>25</v>
      </c>
      <c r="R120" s="311" t="s">
        <v>5700</v>
      </c>
    </row>
    <row r="121" spans="1:25">
      <c r="A121" s="285" t="s">
        <v>5855</v>
      </c>
      <c r="B121" s="285" t="s">
        <v>4219</v>
      </c>
      <c r="C121" s="285">
        <f>1138/(1+$F$134)</f>
        <v>1060.7820186598813</v>
      </c>
      <c r="D121" s="285">
        <f>5652*(1+$F$134)</f>
        <v>6063.4285714285716</v>
      </c>
      <c r="E121" s="319" t="s">
        <v>5291</v>
      </c>
      <c r="F121" s="319">
        <v>1270.0999999999999</v>
      </c>
      <c r="G121" s="319">
        <f>C121*D121*0.99114/(F121*1.0037158)</f>
        <v>5000.6993184397097</v>
      </c>
      <c r="H121" s="319">
        <f t="shared" ref="H121" si="44">C121/F121</f>
        <v>0.83519566857718397</v>
      </c>
      <c r="I121" s="319">
        <f t="shared" ref="I121" si="45">F121/C121</f>
        <v>1.1973242170946266</v>
      </c>
      <c r="J121" s="97"/>
      <c r="K121" s="97">
        <v>1</v>
      </c>
      <c r="L121" s="94" t="s">
        <v>25</v>
      </c>
      <c r="P121" t="s">
        <v>25</v>
      </c>
      <c r="R121" t="s">
        <v>25</v>
      </c>
    </row>
    <row r="122" spans="1:25">
      <c r="A122" s="285" t="s">
        <v>5855</v>
      </c>
      <c r="B122" s="285" t="s">
        <v>4219</v>
      </c>
      <c r="C122" s="285">
        <f>1138/(1+$F$134)</f>
        <v>1060.7820186598813</v>
      </c>
      <c r="D122" s="285">
        <v>39712</v>
      </c>
      <c r="E122" s="319" t="s">
        <v>5291</v>
      </c>
      <c r="F122" s="319">
        <v>1275</v>
      </c>
      <c r="G122" s="319">
        <f t="shared" ref="G122:G129" si="46">C122*D122*0.99114/(F122*1.0037158)</f>
        <v>32625.859930743478</v>
      </c>
      <c r="H122" s="319">
        <f t="shared" ref="H122:H129" si="47">C122/F122</f>
        <v>0.83198589698814218</v>
      </c>
      <c r="I122" s="319">
        <f t="shared" ref="I122:I129" si="48">F122/C122</f>
        <v>1.2019434507484836</v>
      </c>
      <c r="J122" s="97"/>
      <c r="K122" s="97">
        <f>H122/H121</f>
        <v>0.99615686274509796</v>
      </c>
      <c r="L122" s="94"/>
      <c r="M122" s="94"/>
      <c r="N122" s="94"/>
      <c r="O122" t="s">
        <v>25</v>
      </c>
      <c r="P122" s="94" t="s">
        <v>25</v>
      </c>
      <c r="Q122" t="s">
        <v>25</v>
      </c>
      <c r="R122" t="s">
        <v>25</v>
      </c>
      <c r="S122" t="s">
        <v>25</v>
      </c>
    </row>
    <row r="123" spans="1:25">
      <c r="A123" s="285" t="s">
        <v>5897</v>
      </c>
      <c r="B123" s="285" t="s">
        <v>4219</v>
      </c>
      <c r="C123" s="285">
        <v>1095.5999999999999</v>
      </c>
      <c r="D123" s="285">
        <v>70000</v>
      </c>
      <c r="E123" s="319" t="s">
        <v>5291</v>
      </c>
      <c r="F123" s="319">
        <v>1274.0999999999999</v>
      </c>
      <c r="G123" s="319">
        <f t="shared" si="46"/>
        <v>59438.903721645293</v>
      </c>
      <c r="H123" s="319">
        <f>C123/F123</f>
        <v>0.85990110666352715</v>
      </c>
      <c r="I123" s="319">
        <f t="shared" si="48"/>
        <v>1.1629244249726178</v>
      </c>
      <c r="J123" s="97"/>
      <c r="K123" s="97">
        <f t="shared" ref="K123:K127" si="49">H123/H122</f>
        <v>1.0335525034455997</v>
      </c>
      <c r="L123" s="94"/>
      <c r="M123" t="s">
        <v>25</v>
      </c>
      <c r="R123" t="s">
        <v>25</v>
      </c>
      <c r="S123" t="s">
        <v>25</v>
      </c>
    </row>
    <row r="124" spans="1:25">
      <c r="A124" s="285" t="s">
        <v>5966</v>
      </c>
      <c r="B124" s="285" t="s">
        <v>4219</v>
      </c>
      <c r="C124" s="285">
        <v>1095.5999999999999</v>
      </c>
      <c r="D124" s="285">
        <v>42000</v>
      </c>
      <c r="E124" s="319" t="s">
        <v>5291</v>
      </c>
      <c r="F124" s="319">
        <v>1274.28</v>
      </c>
      <c r="G124" s="319">
        <f t="shared" ref="G124:G128" si="50">C124*D124*0.99114/(F124*1.0037158)</f>
        <v>35658.304563399695</v>
      </c>
      <c r="H124" s="319">
        <f t="shared" ref="H124:H128" si="51">C124/F124</f>
        <v>0.85977964026744513</v>
      </c>
      <c r="I124" s="319">
        <f t="shared" ref="I124:I128" si="52">F124/C124</f>
        <v>1.1630887185104053</v>
      </c>
      <c r="J124" s="97" t="s">
        <v>5971</v>
      </c>
      <c r="K124" s="97">
        <f t="shared" si="49"/>
        <v>0.99985874376118278</v>
      </c>
      <c r="L124" s="94"/>
      <c r="M124" s="94"/>
      <c r="N124" s="94"/>
      <c r="O124" s="94"/>
      <c r="S124" t="s">
        <v>25</v>
      </c>
    </row>
    <row r="125" spans="1:25">
      <c r="A125" s="285"/>
      <c r="B125" s="285"/>
      <c r="C125" s="285"/>
      <c r="D125" s="285"/>
      <c r="E125" s="319"/>
      <c r="F125" s="319"/>
      <c r="G125" s="319" t="e">
        <f t="shared" si="50"/>
        <v>#DIV/0!</v>
      </c>
      <c r="H125" s="319" t="e">
        <f t="shared" si="51"/>
        <v>#DIV/0!</v>
      </c>
      <c r="I125" s="319" t="e">
        <f t="shared" si="52"/>
        <v>#DIV/0!</v>
      </c>
      <c r="J125" s="97"/>
      <c r="K125" s="97" t="e">
        <f t="shared" si="49"/>
        <v>#DIV/0!</v>
      </c>
      <c r="L125" s="94"/>
      <c r="M125" s="94"/>
      <c r="N125" s="94"/>
      <c r="O125" s="94"/>
      <c r="P125" t="s">
        <v>25</v>
      </c>
      <c r="S125" t="s">
        <v>25</v>
      </c>
    </row>
    <row r="126" spans="1:25">
      <c r="A126" s="285"/>
      <c r="B126" s="285"/>
      <c r="C126" s="285"/>
      <c r="D126" s="285"/>
      <c r="E126" s="319"/>
      <c r="F126" s="319"/>
      <c r="G126" s="319" t="e">
        <f t="shared" si="50"/>
        <v>#DIV/0!</v>
      </c>
      <c r="H126" s="319" t="e">
        <f t="shared" si="51"/>
        <v>#DIV/0!</v>
      </c>
      <c r="I126" s="319" t="e">
        <f t="shared" si="52"/>
        <v>#DIV/0!</v>
      </c>
      <c r="J126" s="97"/>
      <c r="K126" s="97" t="e">
        <f t="shared" si="49"/>
        <v>#DIV/0!</v>
      </c>
      <c r="L126" s="94"/>
      <c r="M126" s="94"/>
      <c r="N126" s="94"/>
      <c r="O126" s="94" t="s">
        <v>25</v>
      </c>
      <c r="R126" t="s">
        <v>25</v>
      </c>
      <c r="S126" t="s">
        <v>25</v>
      </c>
    </row>
    <row r="127" spans="1:25">
      <c r="A127" s="285"/>
      <c r="B127" s="285"/>
      <c r="C127" s="285"/>
      <c r="D127" s="285"/>
      <c r="E127" s="319"/>
      <c r="F127" s="319"/>
      <c r="G127" s="319" t="e">
        <f t="shared" si="50"/>
        <v>#DIV/0!</v>
      </c>
      <c r="H127" s="319" t="e">
        <f t="shared" si="51"/>
        <v>#DIV/0!</v>
      </c>
      <c r="I127" s="319" t="e">
        <f t="shared" si="52"/>
        <v>#DIV/0!</v>
      </c>
      <c r="J127" s="97"/>
      <c r="K127" s="97" t="e">
        <f t="shared" si="49"/>
        <v>#DIV/0!</v>
      </c>
      <c r="L127" s="94"/>
      <c r="M127" t="s">
        <v>25</v>
      </c>
      <c r="O127" t="s">
        <v>25</v>
      </c>
      <c r="R127" t="s">
        <v>25</v>
      </c>
    </row>
    <row r="128" spans="1:25">
      <c r="A128" s="285"/>
      <c r="B128" s="285" t="s">
        <v>25</v>
      </c>
      <c r="C128" s="285"/>
      <c r="D128" s="285"/>
      <c r="E128" s="319"/>
      <c r="F128" s="319"/>
      <c r="G128" s="319" t="e">
        <f t="shared" si="50"/>
        <v>#DIV/0!</v>
      </c>
      <c r="H128" s="319" t="e">
        <f t="shared" si="51"/>
        <v>#DIV/0!</v>
      </c>
      <c r="I128" s="319" t="e">
        <f t="shared" si="52"/>
        <v>#DIV/0!</v>
      </c>
      <c r="J128" s="97"/>
      <c r="K128" s="97" t="e">
        <f t="shared" ref="K128:K129" si="53">H128/H127</f>
        <v>#DIV/0!</v>
      </c>
      <c r="L128" s="94"/>
    </row>
    <row r="129" spans="1:21">
      <c r="A129" s="285"/>
      <c r="B129" s="285"/>
      <c r="C129" s="285"/>
      <c r="D129" s="285"/>
      <c r="E129" s="319"/>
      <c r="F129" s="319"/>
      <c r="G129" s="319" t="e">
        <f t="shared" si="46"/>
        <v>#DIV/0!</v>
      </c>
      <c r="H129" s="319" t="e">
        <f t="shared" si="47"/>
        <v>#DIV/0!</v>
      </c>
      <c r="I129" s="319" t="e">
        <f t="shared" si="48"/>
        <v>#DIV/0!</v>
      </c>
      <c r="J129" s="97"/>
      <c r="K129" s="97" t="e">
        <f t="shared" si="53"/>
        <v>#DIV/0!</v>
      </c>
      <c r="L129" s="94"/>
      <c r="S129" t="s">
        <v>25</v>
      </c>
      <c r="T129" t="s">
        <v>25</v>
      </c>
    </row>
    <row r="130" spans="1:21">
      <c r="A130" s="97"/>
      <c r="B130" s="97" t="s">
        <v>25</v>
      </c>
      <c r="C130" s="93">
        <f>C134</f>
        <v>1055</v>
      </c>
      <c r="D130" s="97"/>
      <c r="E130" s="97"/>
      <c r="F130" s="93">
        <f>C137</f>
        <v>1230</v>
      </c>
      <c r="G130" s="97">
        <f t="shared" ref="G130" si="54">C130*D130*0.99114/(F130*1.0037158)</f>
        <v>0</v>
      </c>
      <c r="H130" s="97">
        <f>C130/F130</f>
        <v>0.85772357723577231</v>
      </c>
      <c r="I130" s="97">
        <f t="shared" ref="I130" si="55">F130/C130</f>
        <v>1.1658767772511849</v>
      </c>
      <c r="J130" s="97"/>
      <c r="K130" s="97">
        <f>H130/H124</f>
        <v>0.99760861628331499</v>
      </c>
      <c r="L130" s="301">
        <f>(1/K130-1.0256)*100</f>
        <v>-2.3202883858808088</v>
      </c>
      <c r="P130" s="94" t="s">
        <v>5547</v>
      </c>
      <c r="R130" t="s">
        <v>25</v>
      </c>
      <c r="S130" t="s">
        <v>25</v>
      </c>
    </row>
    <row r="131" spans="1:21">
      <c r="P131" s="94" t="s">
        <v>5548</v>
      </c>
      <c r="Q131" t="s">
        <v>25</v>
      </c>
    </row>
    <row r="132" spans="1:21">
      <c r="P132" s="94" t="s">
        <v>5549</v>
      </c>
      <c r="Q132" t="s">
        <v>25</v>
      </c>
      <c r="R132" t="s">
        <v>25</v>
      </c>
    </row>
    <row r="133" spans="1:21">
      <c r="D133" t="s">
        <v>5894</v>
      </c>
      <c r="E133" t="s">
        <v>5895</v>
      </c>
      <c r="O133" t="s">
        <v>25</v>
      </c>
      <c r="P133" s="94" t="s">
        <v>5550</v>
      </c>
    </row>
    <row r="134" spans="1:21" ht="21">
      <c r="B134" t="s">
        <v>4219</v>
      </c>
      <c r="C134" s="303">
        <v>1055</v>
      </c>
      <c r="D134">
        <v>80</v>
      </c>
      <c r="E134" s="112">
        <v>1099</v>
      </c>
      <c r="F134">
        <f>D134/E134</f>
        <v>7.2793448589626927E-2</v>
      </c>
      <c r="P134" s="94" t="s">
        <v>5551</v>
      </c>
    </row>
    <row r="135" spans="1:21" ht="21">
      <c r="B135" t="s">
        <v>4361</v>
      </c>
      <c r="C135" s="302">
        <v>20723</v>
      </c>
      <c r="E135" s="94"/>
      <c r="G135">
        <v>1085.9000000000001</v>
      </c>
      <c r="H135">
        <f>G135/0.99114</f>
        <v>1095.6070787174365</v>
      </c>
      <c r="J135">
        <v>1125</v>
      </c>
      <c r="K135">
        <v>35000</v>
      </c>
      <c r="P135" s="94" t="s">
        <v>5552</v>
      </c>
      <c r="Q135" t="s">
        <v>25</v>
      </c>
      <c r="R135" t="s">
        <v>25</v>
      </c>
    </row>
    <row r="136" spans="1:21" ht="21">
      <c r="A136" s="94"/>
      <c r="B136" t="s">
        <v>4357</v>
      </c>
      <c r="C136" s="320">
        <v>14300</v>
      </c>
      <c r="G136">
        <v>1278.8</v>
      </c>
      <c r="H136" s="94">
        <f t="shared" ref="H136" si="56">G136/1.0037158</f>
        <v>1274.0658262029949</v>
      </c>
      <c r="J136" s="94">
        <f>J135*K136/K135</f>
        <v>257.14285714285717</v>
      </c>
      <c r="K136">
        <v>8000</v>
      </c>
      <c r="M136" s="94"/>
      <c r="N136" s="94"/>
      <c r="O136" s="94"/>
      <c r="Q136" t="s">
        <v>25</v>
      </c>
      <c r="R136" t="s">
        <v>25</v>
      </c>
      <c r="S136" t="s">
        <v>25</v>
      </c>
    </row>
    <row r="137" spans="1:21" ht="21">
      <c r="A137" s="94"/>
      <c r="B137" s="94" t="s">
        <v>5291</v>
      </c>
      <c r="C137" s="321">
        <v>1230</v>
      </c>
      <c r="D137" s="94"/>
      <c r="E137" s="94"/>
      <c r="F137" s="94"/>
      <c r="G137">
        <v>140665</v>
      </c>
      <c r="H137" s="94">
        <f>G137*0.99114/1.0037158</f>
        <v>138902.5739158435</v>
      </c>
      <c r="I137" s="94"/>
      <c r="J137">
        <f>J135-J136</f>
        <v>867.85714285714289</v>
      </c>
      <c r="K137">
        <f>K135-K136</f>
        <v>27000</v>
      </c>
      <c r="M137" s="94"/>
      <c r="N137" s="94"/>
      <c r="O137" s="94"/>
      <c r="P137" t="s">
        <v>25</v>
      </c>
    </row>
    <row r="138" spans="1:21" ht="21">
      <c r="A138" s="94"/>
      <c r="B138" s="120" t="s">
        <v>5901</v>
      </c>
      <c r="C138" s="324">
        <v>400</v>
      </c>
      <c r="M138" s="94"/>
      <c r="N138" s="94"/>
      <c r="O138" s="94"/>
      <c r="Q138" t="s">
        <v>25</v>
      </c>
    </row>
    <row r="139" spans="1:21" ht="21">
      <c r="B139" s="120" t="s">
        <v>5920</v>
      </c>
      <c r="C139" s="328">
        <v>480</v>
      </c>
      <c r="M139" s="94"/>
      <c r="N139" s="94"/>
      <c r="O139" s="94"/>
      <c r="P139" t="s">
        <v>25</v>
      </c>
      <c r="R139" t="s">
        <v>25</v>
      </c>
      <c r="U139" t="s">
        <v>25</v>
      </c>
    </row>
    <row r="140" spans="1:21">
      <c r="O140" t="s">
        <v>25</v>
      </c>
    </row>
    <row r="141" spans="1:21">
      <c r="A141" s="60" t="s">
        <v>5835</v>
      </c>
      <c r="B141" s="60" t="s">
        <v>4357</v>
      </c>
      <c r="C141" s="60">
        <v>12975.5</v>
      </c>
      <c r="D141" s="60">
        <v>8000</v>
      </c>
      <c r="E141" s="319" t="s">
        <v>5291</v>
      </c>
      <c r="F141" s="319">
        <v>1266.3</v>
      </c>
      <c r="G141" s="319">
        <f>C141*D141*0.99114/(F141*1.0037158)</f>
        <v>80947.180267609016</v>
      </c>
      <c r="H141" s="319">
        <f t="shared" ref="H141:H143" si="57">C141/F141</f>
        <v>10.246781963199874</v>
      </c>
      <c r="I141" s="319">
        <f t="shared" ref="I141:I143" si="58">F141/C141</f>
        <v>9.7591614966667947E-2</v>
      </c>
      <c r="J141" s="97"/>
      <c r="K141" s="97">
        <v>1</v>
      </c>
      <c r="P141" t="s">
        <v>25</v>
      </c>
      <c r="R141" t="s">
        <v>25</v>
      </c>
    </row>
    <row r="142" spans="1:21">
      <c r="A142" s="60" t="s">
        <v>5837</v>
      </c>
      <c r="B142" s="60" t="s">
        <v>4357</v>
      </c>
      <c r="C142" s="60">
        <v>12936</v>
      </c>
      <c r="D142" s="60">
        <v>316</v>
      </c>
      <c r="E142" s="319" t="s">
        <v>5291</v>
      </c>
      <c r="F142" s="319">
        <v>1250.3</v>
      </c>
      <c r="G142" s="319">
        <f>C142*D142*0.99114/(F142*1.0037158)</f>
        <v>3228.4725727825744</v>
      </c>
      <c r="H142" s="319">
        <f t="shared" si="57"/>
        <v>10.346316883947853</v>
      </c>
      <c r="I142" s="319">
        <f t="shared" si="58"/>
        <v>9.6652752009894857E-2</v>
      </c>
      <c r="J142" s="97"/>
      <c r="K142" s="97">
        <f>H142/H141</f>
        <v>1.0097137736613746</v>
      </c>
      <c r="L142" s="94" t="s">
        <v>25</v>
      </c>
      <c r="M142" t="s">
        <v>25</v>
      </c>
    </row>
    <row r="143" spans="1:21">
      <c r="A143" s="322" t="s">
        <v>5896</v>
      </c>
      <c r="B143" s="60" t="s">
        <v>4357</v>
      </c>
      <c r="C143" s="60">
        <v>16119</v>
      </c>
      <c r="D143" s="60">
        <v>1</v>
      </c>
      <c r="E143" s="319" t="s">
        <v>5291</v>
      </c>
      <c r="F143" s="319">
        <v>1437</v>
      </c>
      <c r="G143" s="23">
        <f t="shared" ref="G143" si="59">C143*D143*0.99114/(F143*1.0037158)</f>
        <v>11.076576978852795</v>
      </c>
      <c r="H143" s="319">
        <f t="shared" si="57"/>
        <v>11.217118997912317</v>
      </c>
      <c r="I143" s="319">
        <f t="shared" si="58"/>
        <v>8.914945095849619E-2</v>
      </c>
      <c r="J143" s="97"/>
      <c r="K143" s="97">
        <f>H143/H142</f>
        <v>1.0841654207706994</v>
      </c>
      <c r="L143" s="94"/>
      <c r="O143" t="s">
        <v>25</v>
      </c>
    </row>
    <row r="144" spans="1:21">
      <c r="A144" s="60"/>
      <c r="B144" s="60"/>
      <c r="C144" s="60"/>
      <c r="D144" s="60"/>
      <c r="E144" s="319"/>
      <c r="F144" s="319"/>
      <c r="G144" s="319" t="e">
        <f t="shared" ref="G144:G147" si="60">C144*D144*0.99114/(F144*1.0037158)</f>
        <v>#DIV/0!</v>
      </c>
      <c r="H144" s="319" t="e">
        <f t="shared" ref="H144:H147" si="61">C144/F144</f>
        <v>#DIV/0!</v>
      </c>
      <c r="I144" s="319" t="e">
        <f t="shared" ref="I144:I147" si="62">F144/C144</f>
        <v>#DIV/0!</v>
      </c>
      <c r="J144" s="97"/>
      <c r="K144" s="97" t="e">
        <f>H144/#REF!</f>
        <v>#DIV/0!</v>
      </c>
      <c r="L144" s="94"/>
      <c r="O144" s="94"/>
    </row>
    <row r="145" spans="1:17">
      <c r="A145" s="60"/>
      <c r="B145" s="60"/>
      <c r="C145" s="60"/>
      <c r="D145" s="60"/>
      <c r="E145" s="319"/>
      <c r="F145" s="319"/>
      <c r="G145" s="319" t="e">
        <f t="shared" si="60"/>
        <v>#DIV/0!</v>
      </c>
      <c r="H145" s="319" t="e">
        <f t="shared" si="61"/>
        <v>#DIV/0!</v>
      </c>
      <c r="I145" s="319" t="e">
        <f t="shared" si="62"/>
        <v>#DIV/0!</v>
      </c>
      <c r="J145" s="97"/>
      <c r="K145" s="97" t="e">
        <f t="shared" ref="K145:K147" si="63">H145/H144</f>
        <v>#DIV/0!</v>
      </c>
      <c r="L145" s="94"/>
      <c r="O145" s="94" t="s">
        <v>25</v>
      </c>
    </row>
    <row r="146" spans="1:17">
      <c r="A146" s="60"/>
      <c r="B146" s="60"/>
      <c r="C146" s="60"/>
      <c r="D146" s="60"/>
      <c r="E146" s="319"/>
      <c r="F146" s="319"/>
      <c r="G146" s="319" t="e">
        <f t="shared" si="60"/>
        <v>#DIV/0!</v>
      </c>
      <c r="H146" s="319" t="e">
        <f t="shared" si="61"/>
        <v>#DIV/0!</v>
      </c>
      <c r="I146" s="319" t="e">
        <f t="shared" si="62"/>
        <v>#DIV/0!</v>
      </c>
      <c r="J146" s="97"/>
      <c r="K146" s="97" t="e">
        <f t="shared" si="63"/>
        <v>#DIV/0!</v>
      </c>
      <c r="L146" s="94"/>
      <c r="M146" s="94"/>
      <c r="N146" s="94"/>
    </row>
    <row r="147" spans="1:17">
      <c r="A147" s="60"/>
      <c r="B147" s="60"/>
      <c r="C147" s="60"/>
      <c r="D147" s="60"/>
      <c r="E147" s="319"/>
      <c r="F147" s="319"/>
      <c r="G147" s="319" t="e">
        <f t="shared" si="60"/>
        <v>#DIV/0!</v>
      </c>
      <c r="H147" s="319" t="e">
        <f t="shared" si="61"/>
        <v>#DIV/0!</v>
      </c>
      <c r="I147" s="319" t="e">
        <f t="shared" si="62"/>
        <v>#DIV/0!</v>
      </c>
      <c r="J147" s="97"/>
      <c r="K147" s="97" t="e">
        <f t="shared" si="63"/>
        <v>#DIV/0!</v>
      </c>
      <c r="L147" s="94"/>
      <c r="M147" s="94"/>
      <c r="N147" s="94"/>
      <c r="O147" t="s">
        <v>25</v>
      </c>
    </row>
    <row r="148" spans="1:17">
      <c r="A148" s="97"/>
      <c r="B148" s="97" t="s">
        <v>25</v>
      </c>
      <c r="C148" s="93">
        <f>C136</f>
        <v>14300</v>
      </c>
      <c r="D148" s="97"/>
      <c r="E148" s="97"/>
      <c r="F148" s="93">
        <f>C137</f>
        <v>1230</v>
      </c>
      <c r="G148" s="97">
        <f t="shared" ref="G148" si="64">C148*D148*0.99114/(F148*1.0037158)</f>
        <v>0</v>
      </c>
      <c r="H148" s="97">
        <f t="shared" ref="H148" si="65">C148/F148</f>
        <v>11.626016260162602</v>
      </c>
      <c r="I148" s="97">
        <f>F148/C148</f>
        <v>8.6013986013986007E-2</v>
      </c>
      <c r="J148" s="97"/>
      <c r="K148" s="97">
        <f>H148/H142</f>
        <v>1.1236864664565014</v>
      </c>
      <c r="L148" s="301">
        <f>(1/K148-1.0256)*100</f>
        <v>-13.567204424784219</v>
      </c>
      <c r="M148" s="94"/>
      <c r="N148" s="94"/>
      <c r="O148" t="s">
        <v>25</v>
      </c>
    </row>
    <row r="149" spans="1:17">
      <c r="M149" s="94"/>
      <c r="N149" s="94"/>
    </row>
    <row r="150" spans="1:17">
      <c r="A150" s="94"/>
      <c r="B150" s="94"/>
      <c r="C150" s="94"/>
      <c r="D150" s="94"/>
      <c r="E150" s="94"/>
      <c r="F150" s="94"/>
    </row>
    <row r="151" spans="1:17">
      <c r="A151" s="319" t="s">
        <v>5899</v>
      </c>
      <c r="B151" s="319" t="s">
        <v>5291</v>
      </c>
      <c r="C151" s="319">
        <v>1461.2</v>
      </c>
      <c r="D151" s="319">
        <v>8502</v>
      </c>
      <c r="E151" s="23" t="s">
        <v>5901</v>
      </c>
      <c r="F151" s="23">
        <v>410</v>
      </c>
      <c r="G151" s="23">
        <f>C151*D151*0.99114/(F151*1.00103)</f>
        <v>30000.936926516904</v>
      </c>
      <c r="H151" s="23">
        <f t="shared" ref="H151:H157" si="66">C151/F151</f>
        <v>3.5639024390243903</v>
      </c>
      <c r="I151" s="23">
        <f t="shared" ref="I151:I156" si="67">F151/C151</f>
        <v>0.28059129482617029</v>
      </c>
      <c r="J151" s="97"/>
      <c r="K151" s="97">
        <v>1</v>
      </c>
      <c r="L151" s="94"/>
      <c r="M151" s="94"/>
    </row>
    <row r="152" spans="1:17">
      <c r="A152" s="319" t="s">
        <v>5899</v>
      </c>
      <c r="B152" s="319" t="s">
        <v>5291</v>
      </c>
      <c r="C152" s="319">
        <v>1467</v>
      </c>
      <c r="D152" s="319">
        <v>1331</v>
      </c>
      <c r="E152" s="23" t="s">
        <v>5901</v>
      </c>
      <c r="F152" s="23">
        <v>410</v>
      </c>
      <c r="G152" s="23">
        <f t="shared" ref="G152:G156" si="68">C152*D152*0.99114/(F152*1.00103)</f>
        <v>4715.3314227321462</v>
      </c>
      <c r="H152" s="23">
        <f t="shared" si="66"/>
        <v>3.5780487804878049</v>
      </c>
      <c r="I152" s="23">
        <f t="shared" si="67"/>
        <v>0.27948193592365372</v>
      </c>
      <c r="J152" s="97"/>
      <c r="K152" s="97">
        <f>H152/H151</f>
        <v>1.0039693402682726</v>
      </c>
      <c r="L152" s="94" t="s">
        <v>25</v>
      </c>
      <c r="M152" s="94" t="s">
        <v>25</v>
      </c>
    </row>
    <row r="153" spans="1:17">
      <c r="A153" s="325" t="s">
        <v>5899</v>
      </c>
      <c r="B153" s="319" t="s">
        <v>5291</v>
      </c>
      <c r="C153" s="319">
        <v>0</v>
      </c>
      <c r="D153" s="319">
        <v>0</v>
      </c>
      <c r="E153" s="23" t="s">
        <v>5901</v>
      </c>
      <c r="F153" s="23">
        <v>0</v>
      </c>
      <c r="G153" s="23" t="e">
        <f t="shared" si="68"/>
        <v>#DIV/0!</v>
      </c>
      <c r="H153" s="23" t="e">
        <f t="shared" si="66"/>
        <v>#DIV/0!</v>
      </c>
      <c r="I153" s="23" t="e">
        <f t="shared" si="67"/>
        <v>#DIV/0!</v>
      </c>
      <c r="J153" s="97"/>
      <c r="K153" s="97" t="e">
        <f>H153/H152</f>
        <v>#DIV/0!</v>
      </c>
      <c r="L153" s="94"/>
      <c r="M153" s="94"/>
      <c r="P153" t="s">
        <v>25</v>
      </c>
    </row>
    <row r="154" spans="1:17">
      <c r="A154" s="319"/>
      <c r="B154" s="319"/>
      <c r="C154" s="319"/>
      <c r="D154" s="319"/>
      <c r="E154" s="23"/>
      <c r="F154" s="23"/>
      <c r="G154" s="23" t="e">
        <f t="shared" si="68"/>
        <v>#DIV/0!</v>
      </c>
      <c r="H154" s="23" t="e">
        <f t="shared" si="66"/>
        <v>#DIV/0!</v>
      </c>
      <c r="I154" s="23" t="e">
        <f t="shared" si="67"/>
        <v>#DIV/0!</v>
      </c>
      <c r="J154" s="97"/>
      <c r="K154" s="97" t="e">
        <f>H154/#REF!</f>
        <v>#DIV/0!</v>
      </c>
      <c r="L154" s="94"/>
      <c r="M154" s="94"/>
    </row>
    <row r="155" spans="1:17">
      <c r="A155" s="319"/>
      <c r="B155" s="319"/>
      <c r="C155" s="319"/>
      <c r="D155" s="319"/>
      <c r="E155" s="23"/>
      <c r="F155" s="23"/>
      <c r="G155" s="23" t="e">
        <f t="shared" si="68"/>
        <v>#DIV/0!</v>
      </c>
      <c r="H155" s="23" t="e">
        <f t="shared" si="66"/>
        <v>#DIV/0!</v>
      </c>
      <c r="I155" s="23" t="e">
        <f t="shared" si="67"/>
        <v>#DIV/0!</v>
      </c>
      <c r="J155" s="97"/>
      <c r="K155" s="97" t="e">
        <f t="shared" ref="K155:K156" si="69">H155/H154</f>
        <v>#DIV/0!</v>
      </c>
      <c r="L155" s="94"/>
      <c r="M155" s="94"/>
      <c r="Q155" t="s">
        <v>25</v>
      </c>
    </row>
    <row r="156" spans="1:17">
      <c r="A156" s="319"/>
      <c r="B156" s="319"/>
      <c r="C156" s="319"/>
      <c r="D156" s="319"/>
      <c r="E156" s="23"/>
      <c r="F156" s="23"/>
      <c r="G156" s="23" t="e">
        <f t="shared" si="68"/>
        <v>#DIV/0!</v>
      </c>
      <c r="H156" s="23" t="e">
        <f t="shared" si="66"/>
        <v>#DIV/0!</v>
      </c>
      <c r="I156" s="23" t="e">
        <f t="shared" si="67"/>
        <v>#DIV/0!</v>
      </c>
      <c r="J156" s="97"/>
      <c r="K156" s="97" t="e">
        <f t="shared" si="69"/>
        <v>#DIV/0!</v>
      </c>
      <c r="L156" s="94"/>
      <c r="M156" s="94"/>
      <c r="Q156" t="s">
        <v>25</v>
      </c>
    </row>
    <row r="157" spans="1:17">
      <c r="A157" s="97"/>
      <c r="B157" s="97" t="s">
        <v>25</v>
      </c>
      <c r="C157" s="93">
        <f>C137</f>
        <v>1230</v>
      </c>
      <c r="D157" s="97"/>
      <c r="E157" s="97"/>
      <c r="F157" s="93">
        <f>C138</f>
        <v>400</v>
      </c>
      <c r="G157" s="97">
        <f t="shared" ref="G157" si="70">C157*D157*0.99114/(F157*1.0037158)</f>
        <v>0</v>
      </c>
      <c r="H157" s="97">
        <f t="shared" si="66"/>
        <v>3.0750000000000002</v>
      </c>
      <c r="I157" s="97">
        <f>F157/C157</f>
        <v>0.32520325203252032</v>
      </c>
      <c r="J157" s="97"/>
      <c r="K157" s="97">
        <f>H157/H152</f>
        <v>0.85940695296523517</v>
      </c>
      <c r="L157" s="326">
        <f>(1/K157-1.0146358)*100</f>
        <v>14.895729934562763</v>
      </c>
      <c r="M157" s="94"/>
    </row>
    <row r="159" spans="1:17">
      <c r="A159" s="60" t="s">
        <v>5919</v>
      </c>
      <c r="B159" s="60" t="s">
        <v>4357</v>
      </c>
      <c r="C159" s="60">
        <v>15396.7</v>
      </c>
      <c r="D159" s="60">
        <v>868</v>
      </c>
      <c r="E159" s="327" t="s">
        <v>5920</v>
      </c>
      <c r="F159" s="327">
        <v>490</v>
      </c>
      <c r="G159" s="327">
        <f>C159*D159*0.99114/(F159*1.00103)</f>
        <v>27004.690447581848</v>
      </c>
      <c r="H159" s="327">
        <f t="shared" ref="H159:H165" si="71">C159/F159</f>
        <v>31.42183673469388</v>
      </c>
      <c r="I159" s="327">
        <f t="shared" ref="I159:I164" si="72">F159/C159</f>
        <v>3.1825001461352108E-2</v>
      </c>
      <c r="J159" s="97"/>
      <c r="K159" s="97">
        <v>1</v>
      </c>
      <c r="L159" s="94"/>
    </row>
    <row r="160" spans="1:17">
      <c r="A160" s="60"/>
      <c r="B160" s="60"/>
      <c r="C160" s="60"/>
      <c r="D160" s="60"/>
      <c r="E160" s="327"/>
      <c r="F160" s="327"/>
      <c r="G160" s="327" t="e">
        <f t="shared" ref="G160:G164" si="73">C160*D160*0.99114/(F160*1.00103)</f>
        <v>#DIV/0!</v>
      </c>
      <c r="H160" s="327" t="e">
        <f t="shared" si="71"/>
        <v>#DIV/0!</v>
      </c>
      <c r="I160" s="327" t="e">
        <f t="shared" si="72"/>
        <v>#DIV/0!</v>
      </c>
      <c r="J160" s="97"/>
      <c r="K160" s="97" t="e">
        <f>H160/H159</f>
        <v>#DIV/0!</v>
      </c>
      <c r="L160" s="94" t="s">
        <v>25</v>
      </c>
    </row>
    <row r="161" spans="1:16">
      <c r="A161" s="322"/>
      <c r="B161" s="60"/>
      <c r="C161" s="60"/>
      <c r="D161" s="60"/>
      <c r="E161" s="327"/>
      <c r="F161" s="327"/>
      <c r="G161" s="327" t="e">
        <f t="shared" si="73"/>
        <v>#DIV/0!</v>
      </c>
      <c r="H161" s="327" t="e">
        <f t="shared" si="71"/>
        <v>#DIV/0!</v>
      </c>
      <c r="I161" s="327" t="e">
        <f t="shared" si="72"/>
        <v>#DIV/0!</v>
      </c>
      <c r="J161" s="97"/>
      <c r="K161" s="97" t="e">
        <f>H161/H160</f>
        <v>#DIV/0!</v>
      </c>
      <c r="L161" s="94"/>
      <c r="P161" t="s">
        <v>25</v>
      </c>
    </row>
    <row r="162" spans="1:16">
      <c r="A162" s="60"/>
      <c r="B162" s="60"/>
      <c r="C162" s="60"/>
      <c r="D162" s="60"/>
      <c r="E162" s="327"/>
      <c r="F162" s="327"/>
      <c r="G162" s="327" t="e">
        <f t="shared" si="73"/>
        <v>#DIV/0!</v>
      </c>
      <c r="H162" s="327" t="e">
        <f t="shared" si="71"/>
        <v>#DIV/0!</v>
      </c>
      <c r="I162" s="327" t="e">
        <f t="shared" si="72"/>
        <v>#DIV/0!</v>
      </c>
      <c r="J162" s="97"/>
      <c r="K162" s="97" t="e">
        <f>H162/#REF!</f>
        <v>#DIV/0!</v>
      </c>
      <c r="L162" s="94"/>
      <c r="P162" t="s">
        <v>25</v>
      </c>
    </row>
    <row r="163" spans="1:16">
      <c r="A163" s="60"/>
      <c r="B163" s="60"/>
      <c r="C163" s="60"/>
      <c r="D163" s="60"/>
      <c r="E163" s="327"/>
      <c r="F163" s="327"/>
      <c r="G163" s="327" t="e">
        <f t="shared" si="73"/>
        <v>#DIV/0!</v>
      </c>
      <c r="H163" s="327" t="e">
        <f t="shared" si="71"/>
        <v>#DIV/0!</v>
      </c>
      <c r="I163" s="327" t="e">
        <f t="shared" si="72"/>
        <v>#DIV/0!</v>
      </c>
      <c r="J163" s="97"/>
      <c r="K163" s="97" t="e">
        <f t="shared" ref="K163:K164" si="74">H163/H162</f>
        <v>#DIV/0!</v>
      </c>
      <c r="L163" s="94"/>
    </row>
    <row r="164" spans="1:16">
      <c r="A164" s="60"/>
      <c r="B164" s="60"/>
      <c r="C164" s="60"/>
      <c r="D164" s="60"/>
      <c r="E164" s="327"/>
      <c r="F164" s="327"/>
      <c r="G164" s="327" t="e">
        <f t="shared" si="73"/>
        <v>#DIV/0!</v>
      </c>
      <c r="H164" s="327" t="e">
        <f t="shared" si="71"/>
        <v>#DIV/0!</v>
      </c>
      <c r="I164" s="327" t="e">
        <f t="shared" si="72"/>
        <v>#DIV/0!</v>
      </c>
      <c r="J164" s="97"/>
      <c r="K164" s="97" t="e">
        <f t="shared" si="74"/>
        <v>#DIV/0!</v>
      </c>
      <c r="L164" s="94"/>
    </row>
    <row r="165" spans="1:16">
      <c r="A165" s="97"/>
      <c r="B165" s="97" t="s">
        <v>25</v>
      </c>
      <c r="C165" s="93">
        <f>C136</f>
        <v>14300</v>
      </c>
      <c r="D165" s="97"/>
      <c r="E165" s="97"/>
      <c r="F165" s="93">
        <f>C139</f>
        <v>480</v>
      </c>
      <c r="G165" s="97">
        <f t="shared" ref="G165" si="75">C165*D165*0.99114/(F165*1.0037158)</f>
        <v>0</v>
      </c>
      <c r="H165" s="97">
        <f t="shared" si="71"/>
        <v>29.791666666666668</v>
      </c>
      <c r="I165" s="97">
        <f>F165/C165</f>
        <v>3.3566433566433566E-2</v>
      </c>
      <c r="J165" s="97"/>
      <c r="K165" s="97">
        <f>H165/H159</f>
        <v>0.94811983520278154</v>
      </c>
      <c r="L165" s="326">
        <f>(1/K165-1.0146358)*100</f>
        <v>4.0083195290423923</v>
      </c>
      <c r="O165" t="s">
        <v>25</v>
      </c>
    </row>
    <row r="168" spans="1:16">
      <c r="A168" s="97" t="s">
        <v>5556</v>
      </c>
      <c r="B168" s="97"/>
      <c r="C168" s="97"/>
      <c r="D168" s="97"/>
      <c r="E168" s="97"/>
      <c r="F168" s="97"/>
      <c r="G168" s="97"/>
      <c r="H168" s="97"/>
      <c r="I168" s="97"/>
      <c r="J168" s="97"/>
      <c r="K168" s="97"/>
    </row>
    <row r="169" spans="1:16">
      <c r="A169" s="283" t="s">
        <v>5785</v>
      </c>
      <c r="B169" s="283" t="s">
        <v>4361</v>
      </c>
      <c r="C169" s="283">
        <v>21532</v>
      </c>
      <c r="D169" s="283">
        <v>1859</v>
      </c>
      <c r="E169" s="285" t="s">
        <v>4219</v>
      </c>
      <c r="F169" s="285">
        <f>1273.7/(1+$F$134)</f>
        <v>1187.2742154368109</v>
      </c>
      <c r="G169" s="285">
        <f>C169*D169*0.99114/(F169*1.0037158)</f>
        <v>33291.776292430572</v>
      </c>
      <c r="H169" s="285">
        <f t="shared" ref="H169" si="76">C169/F169</f>
        <v>18.135658738346429</v>
      </c>
      <c r="I169" s="285">
        <f t="shared" ref="I169" si="77">F169/C169</f>
        <v>5.5139987713022982E-2</v>
      </c>
      <c r="J169" s="97"/>
      <c r="K169" s="97">
        <v>1</v>
      </c>
    </row>
    <row r="170" spans="1:16">
      <c r="A170" s="283" t="s">
        <v>5792</v>
      </c>
      <c r="B170" s="283" t="s">
        <v>4361</v>
      </c>
      <c r="C170" s="283">
        <v>22420.1</v>
      </c>
      <c r="D170" s="283">
        <v>1000</v>
      </c>
      <c r="E170" s="285" t="s">
        <v>4219</v>
      </c>
      <c r="F170" s="285">
        <f>1246/(1+$F$134)</f>
        <v>1161.4537743850722</v>
      </c>
      <c r="G170" s="285">
        <f t="shared" ref="G170:G180" si="78">C170*D170*0.99114/(F170*1.0037158)</f>
        <v>19061.622243209389</v>
      </c>
      <c r="H170" s="285">
        <f t="shared" ref="H170:H180" si="79">C170/F170</f>
        <v>19.303480254192852</v>
      </c>
      <c r="I170" s="285">
        <f t="shared" ref="I170" si="80">F170/C170</f>
        <v>5.1804129971992643E-2</v>
      </c>
      <c r="J170" s="97"/>
      <c r="K170" s="97">
        <f>H170/H169</f>
        <v>1.0643936640347758</v>
      </c>
      <c r="L170" t="s">
        <v>25</v>
      </c>
    </row>
    <row r="171" spans="1:16">
      <c r="A171" s="283" t="s">
        <v>5795</v>
      </c>
      <c r="B171" s="283" t="s">
        <v>4361</v>
      </c>
      <c r="C171" s="283">
        <v>23233.1</v>
      </c>
      <c r="D171" s="283">
        <v>1000</v>
      </c>
      <c r="E171" s="285" t="s">
        <v>4219</v>
      </c>
      <c r="F171" s="285">
        <f>1236/(1+$F$134)</f>
        <v>1152.1323155216285</v>
      </c>
      <c r="G171" s="285">
        <f t="shared" ref="G171:G179" si="81">C171*D171*0.99114/(F171*1.0037158)</f>
        <v>19912.649368447332</v>
      </c>
      <c r="H171" s="285">
        <f t="shared" ref="H171:H179" si="82">C171/F171</f>
        <v>20.165305396786135</v>
      </c>
      <c r="I171" s="285">
        <f t="shared" ref="I171:I179" si="83">F171/C171</f>
        <v>4.9590124241776973E-2</v>
      </c>
      <c r="J171" s="97"/>
      <c r="K171" s="97">
        <f t="shared" ref="K171:K179" si="84">H171/H170</f>
        <v>1.0446461017000335</v>
      </c>
    </row>
    <row r="172" spans="1:16">
      <c r="A172" s="283" t="s">
        <v>5797</v>
      </c>
      <c r="B172" s="283" t="s">
        <v>4361</v>
      </c>
      <c r="C172" s="283">
        <v>23900</v>
      </c>
      <c r="D172" s="283">
        <v>1000</v>
      </c>
      <c r="E172" s="285" t="s">
        <v>4219</v>
      </c>
      <c r="F172" s="285">
        <f>1237.2/(1+$F$134)</f>
        <v>1153.2508905852419</v>
      </c>
      <c r="G172" s="285">
        <f t="shared" si="81"/>
        <v>20464.368391121596</v>
      </c>
      <c r="H172" s="285">
        <f t="shared" si="82"/>
        <v>20.724024750478563</v>
      </c>
      <c r="I172" s="285">
        <f t="shared" si="83"/>
        <v>4.8253175338294638E-2</v>
      </c>
      <c r="J172" s="97"/>
      <c r="K172" s="97">
        <f t="shared" si="84"/>
        <v>1.0277069621658927</v>
      </c>
    </row>
    <row r="173" spans="1:16">
      <c r="A173" s="283" t="s">
        <v>5810</v>
      </c>
      <c r="B173" s="283" t="s">
        <v>4361</v>
      </c>
      <c r="C173" s="283">
        <v>22500</v>
      </c>
      <c r="D173" s="283">
        <v>2000</v>
      </c>
      <c r="E173" s="285" t="s">
        <v>4219</v>
      </c>
      <c r="F173" s="285">
        <f>1173/(1+$F$134)</f>
        <v>1093.407124681934</v>
      </c>
      <c r="G173" s="285">
        <f t="shared" si="81"/>
        <v>40640.108358830439</v>
      </c>
      <c r="H173" s="285">
        <f t="shared" si="82"/>
        <v>20.57787944865013</v>
      </c>
      <c r="I173" s="285">
        <f t="shared" si="83"/>
        <v>4.8595872208085956E-2</v>
      </c>
      <c r="J173" s="97"/>
      <c r="K173" s="97">
        <f t="shared" si="84"/>
        <v>0.99294802512600466</v>
      </c>
    </row>
    <row r="174" spans="1:16">
      <c r="A174" s="283"/>
      <c r="B174" s="283" t="s">
        <v>4219</v>
      </c>
      <c r="C174" s="283">
        <v>1195</v>
      </c>
      <c r="D174" s="283">
        <v>16000</v>
      </c>
      <c r="E174" s="285" t="s">
        <v>4357</v>
      </c>
      <c r="F174" s="285">
        <v>15570</v>
      </c>
      <c r="G174" s="285">
        <f t="shared" si="81"/>
        <v>1212.6166254245577</v>
      </c>
      <c r="H174" s="285">
        <f t="shared" si="82"/>
        <v>7.6750160565189463E-2</v>
      </c>
      <c r="I174" s="285">
        <f>F174/C174</f>
        <v>13.02928870292887</v>
      </c>
      <c r="J174" s="97"/>
      <c r="K174" s="97"/>
      <c r="L174" s="94"/>
    </row>
    <row r="175" spans="1:16">
      <c r="A175" s="283"/>
      <c r="B175" s="283"/>
      <c r="C175" s="283"/>
      <c r="D175" s="283"/>
      <c r="E175" s="285"/>
      <c r="F175" s="285"/>
      <c r="G175" s="285" t="e">
        <f t="shared" ref="G175:G176" si="85">C175*D175*0.99114/(F175*1.0037158)</f>
        <v>#DIV/0!</v>
      </c>
      <c r="H175" s="285" t="e">
        <f t="shared" ref="H175:H176" si="86">C175/F175</f>
        <v>#DIV/0!</v>
      </c>
      <c r="I175" s="285" t="e">
        <f t="shared" ref="I175:I176" si="87">F175/C175</f>
        <v>#DIV/0!</v>
      </c>
      <c r="J175" s="97"/>
      <c r="K175" s="97"/>
      <c r="L175" s="94"/>
    </row>
    <row r="176" spans="1:16">
      <c r="A176" s="283"/>
      <c r="B176" s="283"/>
      <c r="C176" s="283"/>
      <c r="D176" s="283"/>
      <c r="E176" s="285"/>
      <c r="F176" s="285"/>
      <c r="G176" s="285" t="e">
        <f t="shared" si="85"/>
        <v>#DIV/0!</v>
      </c>
      <c r="H176" s="285" t="e">
        <f t="shared" si="86"/>
        <v>#DIV/0!</v>
      </c>
      <c r="I176" s="285" t="e">
        <f t="shared" si="87"/>
        <v>#DIV/0!</v>
      </c>
      <c r="J176" s="97"/>
      <c r="K176" s="97"/>
      <c r="L176" s="94"/>
      <c r="P176" t="s">
        <v>25</v>
      </c>
    </row>
    <row r="177" spans="1:21">
      <c r="A177" s="283"/>
      <c r="B177" s="283"/>
      <c r="C177" s="283"/>
      <c r="D177" s="283"/>
      <c r="E177" s="285"/>
      <c r="F177" s="285"/>
      <c r="G177" s="285"/>
      <c r="H177" s="285"/>
      <c r="I177" s="285"/>
      <c r="J177" s="97"/>
      <c r="K177" s="97"/>
      <c r="L177" s="94"/>
    </row>
    <row r="178" spans="1:21">
      <c r="A178" s="283"/>
      <c r="B178" s="283"/>
      <c r="C178" s="283"/>
      <c r="D178" s="283"/>
      <c r="E178" s="285"/>
      <c r="F178" s="285"/>
      <c r="G178" s="285" t="e">
        <f t="shared" si="81"/>
        <v>#DIV/0!</v>
      </c>
      <c r="H178" s="285" t="e">
        <f t="shared" si="82"/>
        <v>#DIV/0!</v>
      </c>
      <c r="I178" s="285" t="e">
        <f t="shared" si="83"/>
        <v>#DIV/0!</v>
      </c>
      <c r="J178" s="97"/>
      <c r="K178" s="97" t="e">
        <f>H178/H173</f>
        <v>#DIV/0!</v>
      </c>
      <c r="L178" s="94"/>
    </row>
    <row r="179" spans="1:21">
      <c r="A179" s="97"/>
      <c r="B179" s="97"/>
      <c r="C179" s="97"/>
      <c r="D179" s="97"/>
      <c r="E179" s="97"/>
      <c r="F179" s="97"/>
      <c r="G179" s="97" t="e">
        <f t="shared" si="81"/>
        <v>#DIV/0!</v>
      </c>
      <c r="H179" s="97" t="e">
        <f t="shared" si="82"/>
        <v>#DIV/0!</v>
      </c>
      <c r="I179" s="97" t="e">
        <f t="shared" si="83"/>
        <v>#DIV/0!</v>
      </c>
      <c r="J179" s="97"/>
      <c r="K179" s="97" t="e">
        <f t="shared" si="84"/>
        <v>#DIV/0!</v>
      </c>
      <c r="L179" s="94"/>
    </row>
    <row r="180" spans="1:21">
      <c r="A180" s="97"/>
      <c r="B180" s="97" t="s">
        <v>25</v>
      </c>
      <c r="C180" s="93">
        <f>C134</f>
        <v>1055</v>
      </c>
      <c r="D180" s="97"/>
      <c r="E180" s="97"/>
      <c r="F180" s="93">
        <f>C136</f>
        <v>14300</v>
      </c>
      <c r="G180" s="97">
        <f t="shared" si="78"/>
        <v>0</v>
      </c>
      <c r="H180" s="97">
        <f t="shared" si="79"/>
        <v>7.3776223776223782E-2</v>
      </c>
      <c r="I180" s="97">
        <f>F180/C180</f>
        <v>13.554502369668246</v>
      </c>
      <c r="J180" s="97"/>
      <c r="K180" s="97">
        <f>H180/H174</f>
        <v>0.96125171899230488</v>
      </c>
      <c r="L180" s="301">
        <f>(1/K180-1.0256)*100</f>
        <v>1.4710233253278915</v>
      </c>
    </row>
    <row r="183" spans="1:21">
      <c r="A183" s="97"/>
      <c r="B183" s="97"/>
      <c r="C183" s="97" t="s">
        <v>935</v>
      </c>
      <c r="D183" s="97" t="s">
        <v>922</v>
      </c>
      <c r="E183" s="97" t="s">
        <v>5913</v>
      </c>
      <c r="F183" s="97" t="s">
        <v>902</v>
      </c>
      <c r="G183" s="97" t="s">
        <v>4600</v>
      </c>
      <c r="H183" s="97" t="s">
        <v>902</v>
      </c>
      <c r="I183" s="97" t="s">
        <v>5922</v>
      </c>
      <c r="J183" s="97" t="s">
        <v>926</v>
      </c>
      <c r="K183" s="97" t="s">
        <v>4118</v>
      </c>
      <c r="L183" s="97"/>
    </row>
    <row r="184" spans="1:21">
      <c r="A184" s="285" t="s">
        <v>5912</v>
      </c>
      <c r="B184" s="285" t="s">
        <v>4219</v>
      </c>
      <c r="C184" s="285">
        <v>1168</v>
      </c>
      <c r="D184" s="285">
        <v>59719</v>
      </c>
      <c r="E184" s="97">
        <f>C184*1.0037158</f>
        <v>1172.3400543999999</v>
      </c>
      <c r="F184" s="97">
        <f t="shared" ref="F184:F191" si="88">$E$195-E184</f>
        <v>-126.68735439999978</v>
      </c>
      <c r="G184" s="115">
        <f>C184*D184*1.0037158</f>
        <v>70010975.708713591</v>
      </c>
      <c r="H184" s="115">
        <f>D184*F184</f>
        <v>-7565642.1174135869</v>
      </c>
      <c r="I184" s="97">
        <f>C184*1.0127</f>
        <v>1182.8335999999999</v>
      </c>
      <c r="J184" s="93">
        <f>C134</f>
        <v>1055</v>
      </c>
      <c r="K184" s="115">
        <f>D184*(J184-I184)</f>
        <v>-7634094.758399996</v>
      </c>
      <c r="L184" s="97"/>
      <c r="M184" s="94"/>
    </row>
    <row r="185" spans="1:21">
      <c r="A185" s="285" t="s">
        <v>5919</v>
      </c>
      <c r="B185" s="285" t="s">
        <v>4219</v>
      </c>
      <c r="C185" s="285">
        <v>1146</v>
      </c>
      <c r="D185" s="285">
        <v>20000</v>
      </c>
      <c r="E185" s="97">
        <f t="shared" ref="E185" si="89">C185*1.0037158</f>
        <v>1150.2583067999999</v>
      </c>
      <c r="F185" s="97">
        <f t="shared" si="88"/>
        <v>-104.6056067999998</v>
      </c>
      <c r="G185" s="115">
        <f t="shared" ref="G185" si="90">C185*D185*1.0037158</f>
        <v>23005166.136</v>
      </c>
      <c r="H185" s="115">
        <f>D185*F185</f>
        <v>-2092112.1359999962</v>
      </c>
      <c r="I185" s="97">
        <f>C185*1.0127</f>
        <v>1160.5542</v>
      </c>
      <c r="J185" s="93">
        <f>C134</f>
        <v>1055</v>
      </c>
      <c r="K185" s="115">
        <f t="shared" ref="K185:K195" si="91">D185*(J185-I185)</f>
        <v>-2111084.0000000009</v>
      </c>
      <c r="L185" s="97"/>
      <c r="M185" s="94"/>
      <c r="P185" t="s">
        <v>25</v>
      </c>
    </row>
    <row r="186" spans="1:21">
      <c r="A186" s="285" t="s">
        <v>5924</v>
      </c>
      <c r="B186" s="285" t="s">
        <v>4219</v>
      </c>
      <c r="C186" s="285">
        <v>1119</v>
      </c>
      <c r="D186" s="285">
        <v>16134</v>
      </c>
      <c r="E186" s="97">
        <f t="shared" ref="E186" si="92">C186*1.0037158</f>
        <v>1123.1579801999999</v>
      </c>
      <c r="F186" s="97">
        <f t="shared" si="88"/>
        <v>-77.505280199999788</v>
      </c>
      <c r="G186" s="115">
        <f t="shared" ref="G186" si="93">C186*D186*1.0037158</f>
        <v>18121030.8525468</v>
      </c>
      <c r="H186" s="115">
        <f>D186*F186</f>
        <v>-1250470.1907467966</v>
      </c>
      <c r="I186" s="97">
        <f>C186*1.0127</f>
        <v>1133.2112999999999</v>
      </c>
      <c r="J186" s="93">
        <f>C134</f>
        <v>1055</v>
      </c>
      <c r="K186" s="115">
        <f t="shared" si="91"/>
        <v>-1261861.114199999</v>
      </c>
      <c r="L186" s="97"/>
      <c r="M186" s="94" t="s">
        <v>25</v>
      </c>
    </row>
    <row r="187" spans="1:21">
      <c r="A187" s="60" t="s">
        <v>5927</v>
      </c>
      <c r="B187" s="60" t="s">
        <v>4357</v>
      </c>
      <c r="C187" s="60">
        <v>14880</v>
      </c>
      <c r="D187" s="60">
        <v>3157</v>
      </c>
      <c r="E187" s="60">
        <f t="shared" ref="E187:E193" si="94">C187*1.0037158</f>
        <v>14935.291104</v>
      </c>
      <c r="F187" s="60">
        <f t="shared" si="88"/>
        <v>-13889.638403999999</v>
      </c>
      <c r="G187" s="49">
        <f t="shared" ref="G187:G193" si="95">C187*D187*1.0037158</f>
        <v>47150714.015327998</v>
      </c>
      <c r="H187" s="49">
        <f t="shared" ref="H187:H193" si="96">D187*F187</f>
        <v>-43849588.441427998</v>
      </c>
      <c r="I187" s="60">
        <f>C187*1.0127</f>
        <v>15068.975999999999</v>
      </c>
      <c r="J187" s="330">
        <f>C136</f>
        <v>14300</v>
      </c>
      <c r="K187" s="49">
        <f t="shared" si="91"/>
        <v>-2427657.2319999961</v>
      </c>
      <c r="L187" s="97"/>
      <c r="M187" s="94" t="s">
        <v>25</v>
      </c>
    </row>
    <row r="188" spans="1:21">
      <c r="A188" s="285" t="s">
        <v>5927</v>
      </c>
      <c r="B188" s="285" t="s">
        <v>4219</v>
      </c>
      <c r="C188" s="285">
        <v>1103</v>
      </c>
      <c r="D188" s="285">
        <v>5406</v>
      </c>
      <c r="E188" s="97">
        <f t="shared" si="94"/>
        <v>1107.0985274</v>
      </c>
      <c r="F188" s="97">
        <f t="shared" si="88"/>
        <v>-61.445827399999871</v>
      </c>
      <c r="G188" s="115">
        <f t="shared" si="95"/>
        <v>5984974.6391244</v>
      </c>
      <c r="H188" s="115">
        <f t="shared" si="96"/>
        <v>-332176.14292439929</v>
      </c>
      <c r="I188" s="97">
        <f t="shared" ref="I188:I193" si="97">C188*1.0127</f>
        <v>1117.0081</v>
      </c>
      <c r="J188" s="93">
        <f>C134</f>
        <v>1055</v>
      </c>
      <c r="K188" s="115">
        <f t="shared" si="91"/>
        <v>-335215.78860000009</v>
      </c>
      <c r="L188" s="97"/>
      <c r="M188" s="94"/>
    </row>
    <row r="189" spans="1:21">
      <c r="A189" s="285" t="s">
        <v>5928</v>
      </c>
      <c r="B189" s="285" t="s">
        <v>4219</v>
      </c>
      <c r="C189" s="285">
        <v>1086</v>
      </c>
      <c r="D189" s="285">
        <v>745</v>
      </c>
      <c r="E189" s="97">
        <f t="shared" si="94"/>
        <v>1090.0353588</v>
      </c>
      <c r="F189" s="97">
        <f t="shared" si="88"/>
        <v>-44.382658799999945</v>
      </c>
      <c r="G189" s="115">
        <f t="shared" si="95"/>
        <v>812076.34230599995</v>
      </c>
      <c r="H189" s="115">
        <f t="shared" si="96"/>
        <v>-33065.080805999962</v>
      </c>
      <c r="I189" s="97">
        <f t="shared" si="97"/>
        <v>1099.7921999999999</v>
      </c>
      <c r="J189" s="93">
        <f>C134</f>
        <v>1055</v>
      </c>
      <c r="K189" s="115">
        <f t="shared" si="91"/>
        <v>-33370.188999999897</v>
      </c>
      <c r="L189" s="97"/>
      <c r="M189" s="94"/>
    </row>
    <row r="190" spans="1:21">
      <c r="A190" s="60" t="s">
        <v>5928</v>
      </c>
      <c r="B190" s="60" t="s">
        <v>4357</v>
      </c>
      <c r="C190" s="60">
        <v>14699</v>
      </c>
      <c r="D190" s="60">
        <v>66</v>
      </c>
      <c r="E190" s="60">
        <f t="shared" si="94"/>
        <v>14753.618544199999</v>
      </c>
      <c r="F190" s="60">
        <f t="shared" si="88"/>
        <v>-13707.965844199998</v>
      </c>
      <c r="G190" s="49">
        <f t="shared" si="95"/>
        <v>973738.82391719997</v>
      </c>
      <c r="H190" s="49">
        <f t="shared" si="96"/>
        <v>-904725.74571719987</v>
      </c>
      <c r="I190" s="60">
        <f t="shared" si="97"/>
        <v>14885.677299999999</v>
      </c>
      <c r="J190" s="330">
        <f>C136</f>
        <v>14300</v>
      </c>
      <c r="K190" s="49">
        <f t="shared" si="91"/>
        <v>-38654.701799999959</v>
      </c>
      <c r="L190" s="97"/>
      <c r="M190" s="94"/>
      <c r="N190" s="94"/>
      <c r="O190" s="94"/>
    </row>
    <row r="191" spans="1:21">
      <c r="A191" s="285" t="s">
        <v>5953</v>
      </c>
      <c r="B191" s="285" t="s">
        <v>4219</v>
      </c>
      <c r="C191" s="285">
        <v>1066</v>
      </c>
      <c r="D191" s="285">
        <v>34738</v>
      </c>
      <c r="E191" s="20">
        <f t="shared" si="94"/>
        <v>1069.9610427999999</v>
      </c>
      <c r="F191" s="20">
        <f t="shared" si="88"/>
        <v>-24.308342799999764</v>
      </c>
      <c r="G191" s="115">
        <f t="shared" si="95"/>
        <v>37168306.704786398</v>
      </c>
      <c r="H191" s="115">
        <f t="shared" si="96"/>
        <v>-844423.21218639181</v>
      </c>
      <c r="I191" s="20">
        <f t="shared" si="97"/>
        <v>1079.5382</v>
      </c>
      <c r="J191" s="331">
        <f>C134</f>
        <v>1055</v>
      </c>
      <c r="K191" s="115">
        <f t="shared" si="91"/>
        <v>-852407.99159999867</v>
      </c>
      <c r="L191" s="97"/>
      <c r="N191" s="94"/>
      <c r="O191" s="94" t="s">
        <v>25</v>
      </c>
    </row>
    <row r="192" spans="1:21">
      <c r="A192" s="285"/>
      <c r="B192" s="285"/>
      <c r="C192" s="285"/>
      <c r="D192" s="285"/>
      <c r="E192" s="20"/>
      <c r="F192" s="20"/>
      <c r="G192" s="115"/>
      <c r="H192" s="115"/>
      <c r="I192" s="20"/>
      <c r="J192" s="331"/>
      <c r="K192" s="115">
        <f t="shared" si="91"/>
        <v>0</v>
      </c>
      <c r="L192" s="97"/>
      <c r="N192" s="94"/>
      <c r="O192" s="94"/>
      <c r="P192" t="s">
        <v>25</v>
      </c>
      <c r="U192" t="s">
        <v>25</v>
      </c>
    </row>
    <row r="193" spans="1:17">
      <c r="A193" s="285"/>
      <c r="B193" s="285" t="s">
        <v>25</v>
      </c>
      <c r="C193" s="285"/>
      <c r="D193" s="285"/>
      <c r="E193" s="97">
        <f t="shared" si="94"/>
        <v>0</v>
      </c>
      <c r="F193" s="97">
        <f>$E$195-E193</f>
        <v>1045.6527000000001</v>
      </c>
      <c r="G193" s="115">
        <f t="shared" si="95"/>
        <v>0</v>
      </c>
      <c r="H193" s="115">
        <f t="shared" si="96"/>
        <v>0</v>
      </c>
      <c r="I193" s="97">
        <f t="shared" si="97"/>
        <v>0</v>
      </c>
      <c r="J193" s="97"/>
      <c r="K193" s="97">
        <f t="shared" si="91"/>
        <v>0</v>
      </c>
      <c r="L193" s="97"/>
      <c r="N193" s="94"/>
      <c r="O193" s="94" t="s">
        <v>25</v>
      </c>
    </row>
    <row r="194" spans="1:17">
      <c r="A194" s="285"/>
      <c r="B194" s="285"/>
      <c r="C194" s="285"/>
      <c r="D194" s="285"/>
      <c r="E194" s="97"/>
      <c r="F194" s="97"/>
      <c r="G194" s="97"/>
      <c r="H194" s="97"/>
      <c r="I194" s="97"/>
      <c r="J194" s="97"/>
      <c r="K194" s="97">
        <f t="shared" si="91"/>
        <v>0</v>
      </c>
      <c r="L194" s="97"/>
      <c r="N194" s="94"/>
      <c r="O194" s="94"/>
    </row>
    <row r="195" spans="1:17">
      <c r="A195" s="97"/>
      <c r="B195" s="97" t="s">
        <v>25</v>
      </c>
      <c r="C195" s="93">
        <f>C134</f>
        <v>1055</v>
      </c>
      <c r="D195" s="97"/>
      <c r="E195" s="97">
        <f>C195*0.99114</f>
        <v>1045.6527000000001</v>
      </c>
      <c r="F195" s="97">
        <f>(E195-E185)*100/E185</f>
        <v>-9.0940970546877349</v>
      </c>
      <c r="G195" s="97"/>
      <c r="H195" s="97"/>
      <c r="I195" s="97"/>
      <c r="J195" s="97"/>
      <c r="K195" s="97">
        <f t="shared" si="91"/>
        <v>0</v>
      </c>
      <c r="L195" s="97"/>
      <c r="N195" s="94"/>
      <c r="O195" s="94"/>
    </row>
    <row r="196" spans="1:17">
      <c r="A196" s="94"/>
      <c r="B196" s="94"/>
      <c r="C196" s="94">
        <v>27200</v>
      </c>
      <c r="D196" s="94"/>
      <c r="E196" s="94"/>
      <c r="F196" s="94"/>
    </row>
    <row r="197" spans="1:17">
      <c r="C197" s="94"/>
      <c r="D197" s="94"/>
      <c r="E197" s="94"/>
      <c r="F197" s="94"/>
    </row>
    <row r="198" spans="1:17">
      <c r="C198" s="94"/>
      <c r="D198" s="94"/>
      <c r="E198" s="94"/>
      <c r="F198" s="94"/>
    </row>
    <row r="199" spans="1:17">
      <c r="C199" s="94"/>
      <c r="D199" s="94"/>
      <c r="E199" s="94"/>
      <c r="F199" s="94"/>
      <c r="J199" t="s">
        <v>25</v>
      </c>
      <c r="Q199" t="s">
        <v>25</v>
      </c>
    </row>
    <row r="200" spans="1:17">
      <c r="A200" s="94"/>
      <c r="B200" s="94"/>
      <c r="C200" s="94"/>
      <c r="D200" s="94"/>
      <c r="E200" s="94"/>
      <c r="F200" s="94"/>
    </row>
    <row r="201" spans="1:17">
      <c r="A201" s="94"/>
      <c r="B201" s="94"/>
      <c r="C201" s="94"/>
      <c r="D201" s="94"/>
      <c r="E201" s="94"/>
      <c r="F201" s="94"/>
    </row>
    <row r="202" spans="1:17">
      <c r="A202" s="94"/>
      <c r="B202" s="94"/>
      <c r="C202" s="94"/>
      <c r="D202" s="94"/>
      <c r="E202" s="94"/>
      <c r="F202" s="94"/>
    </row>
    <row r="203" spans="1:17">
      <c r="A203" s="94"/>
      <c r="B203" s="94"/>
      <c r="C203" s="94"/>
      <c r="D203" s="94"/>
      <c r="E203" s="94"/>
      <c r="F203" s="94"/>
      <c r="I203" t="s">
        <v>25</v>
      </c>
    </row>
    <row r="204" spans="1:17">
      <c r="A204" s="94"/>
      <c r="B204" s="94"/>
      <c r="C204" s="94"/>
      <c r="D204" s="94"/>
      <c r="E204" s="94"/>
      <c r="F204" s="94"/>
    </row>
    <row r="205" spans="1:17">
      <c r="A205" s="94"/>
      <c r="B205" s="94"/>
      <c r="C205" s="94"/>
      <c r="D205" s="94"/>
      <c r="E205" s="94"/>
      <c r="F205" s="94"/>
    </row>
    <row r="206" spans="1:17">
      <c r="A206" s="94"/>
      <c r="B206" s="94"/>
      <c r="C206" s="94"/>
      <c r="D206" s="94"/>
      <c r="E206" s="94"/>
      <c r="F206" s="94"/>
    </row>
    <row r="207" spans="1:17">
      <c r="A207" s="94"/>
      <c r="B207" s="94"/>
      <c r="C207" s="94"/>
      <c r="D207" s="94"/>
      <c r="E207" s="94"/>
      <c r="F207" s="94"/>
    </row>
    <row r="208" spans="1:17">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row>
    <row r="217" spans="1:6">
      <c r="A217" s="94"/>
    </row>
    <row r="218" spans="1:6">
      <c r="A218" s="94"/>
    </row>
    <row r="219" spans="1:6">
      <c r="A219" s="94"/>
    </row>
    <row r="220" spans="1:6">
      <c r="A220" s="94"/>
    </row>
    <row r="221" spans="1:6">
      <c r="A221" s="94"/>
    </row>
    <row r="222" spans="1:6">
      <c r="A222" s="94"/>
    </row>
    <row r="223" spans="1:6">
      <c r="A223" s="94"/>
    </row>
    <row r="224" spans="1:6">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3">
      <c r="A241" s="94"/>
    </row>
    <row r="242" spans="1:3">
      <c r="A242" s="94"/>
    </row>
    <row r="243" spans="1:3">
      <c r="A243" s="94"/>
    </row>
    <row r="244" spans="1:3">
      <c r="A244" s="94"/>
    </row>
    <row r="245" spans="1:3">
      <c r="A245" s="94"/>
    </row>
    <row r="246" spans="1:3">
      <c r="A246" s="94"/>
    </row>
    <row r="247" spans="1:3">
      <c r="A247" s="94"/>
    </row>
    <row r="248" spans="1:3">
      <c r="A248" s="94"/>
    </row>
    <row r="249" spans="1:3">
      <c r="A249" s="94"/>
    </row>
    <row r="250" spans="1:3">
      <c r="A250" s="94"/>
      <c r="C250" t="s">
        <v>25</v>
      </c>
    </row>
    <row r="251" spans="1:3">
      <c r="A251" s="94"/>
    </row>
    <row r="252" spans="1:3">
      <c r="A252" s="94"/>
    </row>
    <row r="253" spans="1:3">
      <c r="A253" s="94"/>
    </row>
    <row r="254" spans="1:3">
      <c r="A254" s="94"/>
    </row>
    <row r="255" spans="1:3">
      <c r="A255" s="94"/>
    </row>
    <row r="256" spans="1:3">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1">
      <c r="A273" s="94"/>
    </row>
    <row r="274" spans="1:1">
      <c r="A274" s="94"/>
    </row>
    <row r="275" spans="1:1">
      <c r="A275" s="94"/>
    </row>
    <row r="276" spans="1:1">
      <c r="A276" s="94"/>
    </row>
    <row r="277" spans="1:1">
      <c r="A277" s="94"/>
    </row>
    <row r="278" spans="1:1">
      <c r="A278" s="94"/>
    </row>
    <row r="279" spans="1:1">
      <c r="A279"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5903</v>
      </c>
      <c r="S1" t="s">
        <v>5904</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G1"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4394</v>
      </c>
      <c r="C1" s="166" t="s">
        <v>4274</v>
      </c>
      <c r="D1" s="166" t="s">
        <v>180</v>
      </c>
      <c r="J1" s="166" t="s">
        <v>3625</v>
      </c>
      <c r="K1" s="166" t="s">
        <v>180</v>
      </c>
      <c r="L1" s="166" t="s">
        <v>4437</v>
      </c>
      <c r="M1" s="166" t="s">
        <v>922</v>
      </c>
      <c r="N1" s="54" t="s">
        <v>925</v>
      </c>
      <c r="O1" s="97" t="s">
        <v>8</v>
      </c>
    </row>
    <row r="2" spans="1:20">
      <c r="A2" s="97" t="s">
        <v>4219</v>
      </c>
      <c r="B2" s="200">
        <v>1707</v>
      </c>
      <c r="C2" s="201" t="s">
        <v>4550</v>
      </c>
      <c r="D2" s="97" t="s">
        <v>4452</v>
      </c>
      <c r="J2" s="166">
        <v>1</v>
      </c>
      <c r="K2" s="166" t="s">
        <v>4261</v>
      </c>
      <c r="L2" s="111">
        <v>4270000</v>
      </c>
      <c r="M2" s="166">
        <v>10</v>
      </c>
      <c r="N2" s="111">
        <f>L2*M2</f>
        <v>42700000</v>
      </c>
      <c r="O2" s="97" t="s">
        <v>744</v>
      </c>
    </row>
    <row r="3" spans="1:20">
      <c r="A3" s="97" t="s">
        <v>4528</v>
      </c>
      <c r="B3" s="200">
        <v>1184</v>
      </c>
      <c r="C3" s="201" t="s">
        <v>4534</v>
      </c>
      <c r="D3" s="97"/>
      <c r="J3" s="166">
        <v>2</v>
      </c>
      <c r="K3" s="166" t="s">
        <v>4448</v>
      </c>
      <c r="L3" s="111">
        <v>3845000</v>
      </c>
      <c r="M3" s="166">
        <v>4</v>
      </c>
      <c r="N3" s="111">
        <f>L3*M3</f>
        <v>15380000</v>
      </c>
      <c r="O3" s="97" t="s">
        <v>452</v>
      </c>
    </row>
    <row r="4" spans="1:20">
      <c r="A4" s="97" t="s">
        <v>4529</v>
      </c>
      <c r="B4" s="200">
        <v>1804</v>
      </c>
      <c r="C4" s="201" t="s">
        <v>4535</v>
      </c>
      <c r="D4" s="97"/>
      <c r="F4" t="s">
        <v>25</v>
      </c>
      <c r="J4" s="166">
        <v>3</v>
      </c>
      <c r="K4" s="166" t="s">
        <v>4207</v>
      </c>
      <c r="L4" s="111">
        <v>3390000</v>
      </c>
      <c r="M4" s="166">
        <v>2</v>
      </c>
      <c r="N4" s="111">
        <f>L4*M4</f>
        <v>6780000</v>
      </c>
      <c r="O4" s="97" t="s">
        <v>744</v>
      </c>
    </row>
    <row r="5" spans="1:20">
      <c r="A5" s="97"/>
      <c r="B5" s="200"/>
      <c r="C5" s="201"/>
      <c r="D5" s="97"/>
      <c r="J5" s="214">
        <v>4</v>
      </c>
      <c r="K5" s="214" t="s">
        <v>4554</v>
      </c>
      <c r="L5" s="215">
        <v>0</v>
      </c>
      <c r="M5" s="214">
        <v>3</v>
      </c>
      <c r="N5" s="215">
        <f>L5*M5</f>
        <v>0</v>
      </c>
      <c r="O5" s="216" t="s">
        <v>4557</v>
      </c>
    </row>
    <row r="6" spans="1:20">
      <c r="A6" s="97" t="s">
        <v>1070</v>
      </c>
      <c r="B6" s="200">
        <v>4060000</v>
      </c>
      <c r="C6" s="167">
        <v>4260000</v>
      </c>
      <c r="D6" s="97" t="s">
        <v>4452</v>
      </c>
      <c r="F6" t="s">
        <v>25</v>
      </c>
      <c r="G6" s="94"/>
      <c r="H6" s="94"/>
      <c r="I6" s="94"/>
      <c r="J6" s="166">
        <v>5</v>
      </c>
      <c r="K6" s="166" t="s">
        <v>4558</v>
      </c>
      <c r="L6" s="111">
        <v>4183832</v>
      </c>
      <c r="M6" s="166">
        <v>6</v>
      </c>
      <c r="N6" s="111">
        <v>25071612</v>
      </c>
      <c r="O6" s="97" t="s">
        <v>452</v>
      </c>
      <c r="P6" s="94"/>
      <c r="Q6" s="94"/>
      <c r="R6" s="94"/>
      <c r="S6" s="94"/>
    </row>
    <row r="7" spans="1:20">
      <c r="A7" s="97" t="s">
        <v>4511</v>
      </c>
      <c r="B7" s="200">
        <v>1689</v>
      </c>
      <c r="C7" s="167"/>
      <c r="D7" s="97"/>
      <c r="F7" s="94">
        <v>0</v>
      </c>
      <c r="G7" s="94"/>
      <c r="H7" s="94"/>
      <c r="I7" s="94"/>
      <c r="J7" s="166">
        <v>6</v>
      </c>
      <c r="K7" s="166" t="s">
        <v>4562</v>
      </c>
      <c r="L7" s="111">
        <v>4186993</v>
      </c>
      <c r="M7" s="166">
        <v>4</v>
      </c>
      <c r="N7" s="111">
        <v>16727037</v>
      </c>
      <c r="O7" s="97" t="s">
        <v>744</v>
      </c>
      <c r="P7" s="94"/>
      <c r="Q7" s="94"/>
      <c r="R7" s="94"/>
      <c r="S7" s="94"/>
    </row>
    <row r="8" spans="1:20">
      <c r="A8" s="97" t="s">
        <v>4485</v>
      </c>
      <c r="B8" s="200">
        <v>3414</v>
      </c>
      <c r="C8" s="167">
        <v>3622</v>
      </c>
      <c r="D8" s="97"/>
      <c r="F8">
        <v>0</v>
      </c>
      <c r="G8" s="94"/>
      <c r="H8" s="94"/>
      <c r="I8" s="94"/>
      <c r="J8" s="166">
        <v>7</v>
      </c>
      <c r="K8" s="166" t="s">
        <v>4567</v>
      </c>
      <c r="L8" s="111">
        <v>4223698</v>
      </c>
      <c r="M8" s="166">
        <v>10</v>
      </c>
      <c r="N8" s="111">
        <v>42236984</v>
      </c>
      <c r="O8" s="97" t="s">
        <v>452</v>
      </c>
      <c r="P8" s="94"/>
      <c r="Q8" s="94"/>
      <c r="R8" s="94"/>
      <c r="S8" s="94"/>
    </row>
    <row r="9" spans="1:20">
      <c r="A9" s="97" t="s">
        <v>4525</v>
      </c>
      <c r="B9" s="200">
        <v>1174</v>
      </c>
      <c r="C9" s="167" t="s">
        <v>25</v>
      </c>
      <c r="D9" s="97"/>
      <c r="F9">
        <v>0</v>
      </c>
      <c r="G9" s="94"/>
      <c r="H9" s="94"/>
      <c r="I9" s="94"/>
      <c r="J9" s="166">
        <v>8</v>
      </c>
      <c r="K9" s="166" t="s">
        <v>4567</v>
      </c>
      <c r="L9" s="111">
        <v>4223698</v>
      </c>
      <c r="M9" s="166">
        <v>11</v>
      </c>
      <c r="N9" s="111">
        <v>46460683</v>
      </c>
      <c r="O9" s="97" t="s">
        <v>744</v>
      </c>
      <c r="P9" s="94"/>
      <c r="Q9" s="94"/>
      <c r="R9" s="94"/>
      <c r="S9" s="94"/>
    </row>
    <row r="10" spans="1:20">
      <c r="A10" s="97" t="s">
        <v>4374</v>
      </c>
      <c r="B10" s="200">
        <v>472</v>
      </c>
      <c r="C10" s="167">
        <v>540</v>
      </c>
      <c r="D10" s="97"/>
      <c r="F10">
        <v>0</v>
      </c>
      <c r="G10" s="120"/>
      <c r="H10" s="94"/>
      <c r="I10" s="94"/>
      <c r="J10" s="166">
        <v>9</v>
      </c>
      <c r="K10" s="166" t="s">
        <v>4568</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4568</v>
      </c>
      <c r="L11" s="111">
        <f>N11/M11</f>
        <v>4369699.111111111</v>
      </c>
      <c r="M11" s="166">
        <v>4.5</v>
      </c>
      <c r="N11" s="111">
        <v>19663646</v>
      </c>
      <c r="O11" s="97" t="s">
        <v>452</v>
      </c>
      <c r="P11" s="94"/>
      <c r="Q11" s="94"/>
      <c r="R11" s="94"/>
      <c r="S11" s="94"/>
      <c r="T11" s="94"/>
    </row>
    <row r="12" spans="1:20">
      <c r="A12" s="97" t="s">
        <v>4504</v>
      </c>
      <c r="B12" s="200">
        <v>3965312</v>
      </c>
      <c r="C12" s="167"/>
      <c r="D12" s="57" t="s">
        <v>4794</v>
      </c>
      <c r="F12" s="112">
        <v>0</v>
      </c>
      <c r="J12" s="166">
        <v>11</v>
      </c>
      <c r="K12" s="166" t="s">
        <v>4591</v>
      </c>
      <c r="L12" s="111">
        <v>4374525</v>
      </c>
      <c r="M12" s="166">
        <v>1</v>
      </c>
      <c r="N12" s="111">
        <v>4374525</v>
      </c>
      <c r="O12" s="97" t="s">
        <v>744</v>
      </c>
      <c r="P12" s="94"/>
      <c r="Q12" s="94"/>
      <c r="R12" s="94"/>
      <c r="S12" s="94"/>
    </row>
    <row r="13" spans="1:20">
      <c r="A13" s="97"/>
      <c r="B13" s="200"/>
      <c r="C13" s="167"/>
      <c r="D13" s="97"/>
      <c r="F13" s="112">
        <v>0</v>
      </c>
      <c r="J13" s="166">
        <v>12</v>
      </c>
      <c r="K13" s="166" t="s">
        <v>4591</v>
      </c>
      <c r="L13" s="111">
        <v>4374525</v>
      </c>
      <c r="M13" s="166">
        <v>1</v>
      </c>
      <c r="N13" s="111">
        <v>4374525</v>
      </c>
      <c r="O13" s="97" t="s">
        <v>452</v>
      </c>
      <c r="P13" s="94"/>
      <c r="Q13" s="94"/>
      <c r="R13" s="94"/>
      <c r="S13" s="94"/>
    </row>
    <row r="14" spans="1:20">
      <c r="A14" s="97"/>
      <c r="B14" s="200"/>
      <c r="C14" s="167"/>
      <c r="D14" s="97"/>
      <c r="F14" s="112">
        <v>0</v>
      </c>
      <c r="J14" s="166">
        <v>13</v>
      </c>
      <c r="K14" s="166" t="s">
        <v>4602</v>
      </c>
      <c r="L14" s="167">
        <v>4367053</v>
      </c>
      <c r="M14" s="166">
        <v>1.5</v>
      </c>
      <c r="N14" s="111">
        <v>6550580</v>
      </c>
      <c r="O14" s="97" t="s">
        <v>744</v>
      </c>
    </row>
    <row r="15" spans="1:20">
      <c r="A15" s="97"/>
      <c r="B15" s="200"/>
      <c r="C15" s="167"/>
      <c r="D15" s="97"/>
      <c r="F15" s="112">
        <f>B12+F7+F8+F9+F10+F11+F12+F13+F14</f>
        <v>3965312</v>
      </c>
      <c r="J15" s="166">
        <v>14</v>
      </c>
      <c r="K15" s="166" t="s">
        <v>4602</v>
      </c>
      <c r="L15" s="167">
        <v>4367053</v>
      </c>
      <c r="M15" s="166">
        <v>1.5</v>
      </c>
      <c r="N15" s="111">
        <v>6550580</v>
      </c>
      <c r="O15" s="97" t="s">
        <v>452</v>
      </c>
    </row>
    <row r="16" spans="1:20">
      <c r="A16" s="97"/>
      <c r="B16" s="200"/>
      <c r="C16" s="167"/>
      <c r="D16" s="97"/>
      <c r="J16" s="207">
        <v>15</v>
      </c>
      <c r="K16" s="207" t="s">
        <v>4604</v>
      </c>
      <c r="L16" s="167">
        <v>4433930</v>
      </c>
      <c r="M16" s="207">
        <v>1.5</v>
      </c>
      <c r="N16" s="111">
        <f>L16*M16</f>
        <v>6650895</v>
      </c>
      <c r="O16" s="97" t="s">
        <v>744</v>
      </c>
    </row>
    <row r="17" spans="1:20">
      <c r="A17" s="97"/>
      <c r="J17" s="207">
        <v>16</v>
      </c>
      <c r="K17" s="207" t="s">
        <v>4604</v>
      </c>
      <c r="L17" s="167">
        <v>4433930</v>
      </c>
      <c r="M17" s="207">
        <v>1.5</v>
      </c>
      <c r="N17" s="111">
        <f>L17*M17</f>
        <v>6650895</v>
      </c>
      <c r="O17" s="97" t="s">
        <v>452</v>
      </c>
    </row>
    <row r="18" spans="1:20">
      <c r="A18" s="94"/>
      <c r="B18" s="94"/>
      <c r="C18" s="94"/>
      <c r="D18" s="94"/>
      <c r="J18" s="210">
        <v>17</v>
      </c>
      <c r="K18" s="210" t="s">
        <v>4621</v>
      </c>
      <c r="L18" s="167">
        <v>4291628</v>
      </c>
      <c r="M18" s="210">
        <v>0.5</v>
      </c>
      <c r="N18" s="111">
        <v>2145814</v>
      </c>
      <c r="O18" s="97" t="s">
        <v>744</v>
      </c>
    </row>
    <row r="19" spans="1:20">
      <c r="A19" s="94"/>
      <c r="B19" s="94"/>
      <c r="C19" s="94"/>
      <c r="D19" s="94"/>
      <c r="J19" s="210">
        <v>18</v>
      </c>
      <c r="K19" s="210" t="s">
        <v>4621</v>
      </c>
      <c r="L19" s="167">
        <v>4291628</v>
      </c>
      <c r="M19" s="210">
        <v>0.5</v>
      </c>
      <c r="N19" s="111">
        <v>2145814</v>
      </c>
      <c r="O19" s="97" t="s">
        <v>452</v>
      </c>
      <c r="R19" t="s">
        <v>25</v>
      </c>
      <c r="T19" t="s">
        <v>25</v>
      </c>
    </row>
    <row r="20" spans="1:20">
      <c r="J20" s="210">
        <v>19</v>
      </c>
      <c r="K20" s="210" t="s">
        <v>4632</v>
      </c>
      <c r="L20" s="167">
        <v>4369730</v>
      </c>
      <c r="M20" s="210">
        <v>1</v>
      </c>
      <c r="N20" s="111">
        <f t="shared" ref="N20:N38" si="0">L20*M20</f>
        <v>4369730</v>
      </c>
      <c r="O20" s="97" t="s">
        <v>744</v>
      </c>
    </row>
    <row r="21" spans="1:20">
      <c r="J21" s="210">
        <v>20</v>
      </c>
      <c r="K21" s="210" t="s">
        <v>4632</v>
      </c>
      <c r="L21" s="167">
        <v>4369730</v>
      </c>
      <c r="M21" s="210">
        <v>1</v>
      </c>
      <c r="N21" s="111">
        <f t="shared" si="0"/>
        <v>4369730</v>
      </c>
      <c r="O21" s="97" t="s">
        <v>452</v>
      </c>
      <c r="R21" t="s">
        <v>25</v>
      </c>
    </row>
    <row r="22" spans="1:20">
      <c r="J22" s="166">
        <v>21</v>
      </c>
      <c r="K22" s="166" t="s">
        <v>4633</v>
      </c>
      <c r="L22" s="111">
        <v>4398820</v>
      </c>
      <c r="M22" s="166">
        <v>2</v>
      </c>
      <c r="N22" s="111">
        <f t="shared" si="0"/>
        <v>8797640</v>
      </c>
      <c r="O22" s="97" t="s">
        <v>744</v>
      </c>
      <c r="R22" t="s">
        <v>25</v>
      </c>
    </row>
    <row r="23" spans="1:20">
      <c r="A23" s="97" t="s">
        <v>180</v>
      </c>
      <c r="B23" s="97" t="s">
        <v>4626</v>
      </c>
      <c r="C23" s="97" t="s">
        <v>4627</v>
      </c>
      <c r="D23" s="97" t="s">
        <v>4628</v>
      </c>
      <c r="E23" s="67" t="s">
        <v>4629</v>
      </c>
      <c r="J23" s="210">
        <v>22</v>
      </c>
      <c r="K23" s="210" t="s">
        <v>4633</v>
      </c>
      <c r="L23" s="111">
        <v>4398820</v>
      </c>
      <c r="M23" s="210">
        <v>2</v>
      </c>
      <c r="N23" s="111">
        <f t="shared" si="0"/>
        <v>8797640</v>
      </c>
      <c r="O23" s="97" t="s">
        <v>452</v>
      </c>
      <c r="Q23" t="s">
        <v>25</v>
      </c>
      <c r="R23" t="s">
        <v>25</v>
      </c>
    </row>
    <row r="24" spans="1:20">
      <c r="A24" s="97" t="s">
        <v>4593</v>
      </c>
      <c r="B24" s="93">
        <v>4080000</v>
      </c>
      <c r="C24" s="93">
        <v>4200000</v>
      </c>
      <c r="D24" s="93"/>
      <c r="E24" s="93"/>
      <c r="J24" s="214">
        <v>23</v>
      </c>
      <c r="K24" s="214" t="s">
        <v>4633</v>
      </c>
      <c r="L24" s="215">
        <v>4388600</v>
      </c>
      <c r="M24" s="214">
        <v>5</v>
      </c>
      <c r="N24" s="215">
        <f t="shared" si="0"/>
        <v>21943000</v>
      </c>
      <c r="O24" s="216" t="s">
        <v>4644</v>
      </c>
    </row>
    <row r="25" spans="1:20">
      <c r="A25" s="97" t="s">
        <v>4602</v>
      </c>
      <c r="B25" s="93">
        <v>4100000</v>
      </c>
      <c r="C25" s="93">
        <v>4230000</v>
      </c>
      <c r="D25" s="93"/>
      <c r="E25" s="93"/>
      <c r="J25" s="210">
        <v>24</v>
      </c>
      <c r="K25" s="210" t="s">
        <v>4634</v>
      </c>
      <c r="L25" s="111">
        <v>4445103</v>
      </c>
      <c r="M25" s="210">
        <v>1.5</v>
      </c>
      <c r="N25" s="111">
        <f t="shared" si="0"/>
        <v>6667654.5</v>
      </c>
      <c r="O25" s="97" t="s">
        <v>744</v>
      </c>
    </row>
    <row r="26" spans="1:20">
      <c r="A26" s="97" t="s">
        <v>4604</v>
      </c>
      <c r="B26" s="93">
        <v>4230000</v>
      </c>
      <c r="C26" s="93">
        <v>4330000</v>
      </c>
      <c r="D26" s="93">
        <v>12200</v>
      </c>
      <c r="E26" s="93">
        <v>12350</v>
      </c>
      <c r="J26" s="210">
        <v>25</v>
      </c>
      <c r="K26" s="210" t="s">
        <v>4634</v>
      </c>
      <c r="L26" s="111">
        <v>4445103</v>
      </c>
      <c r="M26" s="210">
        <v>1.5</v>
      </c>
      <c r="N26" s="111">
        <f t="shared" si="0"/>
        <v>6667654.5</v>
      </c>
      <c r="O26" s="97" t="s">
        <v>452</v>
      </c>
      <c r="R26" t="s">
        <v>25</v>
      </c>
    </row>
    <row r="27" spans="1:20">
      <c r="A27" s="97" t="s">
        <v>4614</v>
      </c>
      <c r="B27" s="93">
        <v>4270000</v>
      </c>
      <c r="C27" s="93">
        <v>4370000</v>
      </c>
      <c r="D27" s="93"/>
      <c r="E27" s="93"/>
      <c r="J27" s="210">
        <v>26</v>
      </c>
      <c r="K27" s="210" t="s">
        <v>4643</v>
      </c>
      <c r="L27" s="111">
        <v>4490623</v>
      </c>
      <c r="M27" s="210">
        <v>2</v>
      </c>
      <c r="N27" s="111">
        <f t="shared" si="0"/>
        <v>8981246</v>
      </c>
      <c r="O27" s="97" t="s">
        <v>744</v>
      </c>
      <c r="R27" t="s">
        <v>25</v>
      </c>
      <c r="S27" t="s">
        <v>25</v>
      </c>
    </row>
    <row r="28" spans="1:20">
      <c r="A28" s="97" t="s">
        <v>4621</v>
      </c>
      <c r="B28" s="93">
        <v>3980000</v>
      </c>
      <c r="C28" s="93">
        <v>4120000</v>
      </c>
      <c r="D28" s="93">
        <v>11450</v>
      </c>
      <c r="E28" s="93">
        <v>11650</v>
      </c>
      <c r="J28" s="210">
        <v>27</v>
      </c>
      <c r="K28" s="210" t="s">
        <v>4643</v>
      </c>
      <c r="L28" s="111">
        <v>4490623</v>
      </c>
      <c r="M28" s="210">
        <v>2</v>
      </c>
      <c r="N28" s="111">
        <f t="shared" si="0"/>
        <v>8981246</v>
      </c>
      <c r="O28" s="97" t="s">
        <v>452</v>
      </c>
    </row>
    <row r="29" spans="1:20">
      <c r="A29" s="97" t="s">
        <v>4623</v>
      </c>
      <c r="B29" s="93">
        <v>4120000</v>
      </c>
      <c r="C29" s="93">
        <v>4230000</v>
      </c>
      <c r="D29" s="93">
        <v>11650</v>
      </c>
      <c r="E29" s="93">
        <v>11750</v>
      </c>
      <c r="J29" s="210">
        <v>28</v>
      </c>
      <c r="K29" s="210" t="s">
        <v>3668</v>
      </c>
      <c r="L29" s="111">
        <v>4590878</v>
      </c>
      <c r="M29" s="210">
        <v>2</v>
      </c>
      <c r="N29" s="111">
        <f t="shared" si="0"/>
        <v>9181756</v>
      </c>
      <c r="O29" s="97" t="s">
        <v>744</v>
      </c>
    </row>
    <row r="30" spans="1:20">
      <c r="A30" s="97" t="s">
        <v>4624</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4630</v>
      </c>
      <c r="B31" s="93">
        <v>4130000</v>
      </c>
      <c r="C31" s="93">
        <v>4260000</v>
      </c>
      <c r="D31" s="93">
        <v>11850</v>
      </c>
      <c r="E31" s="93">
        <v>11950</v>
      </c>
      <c r="J31" s="210">
        <v>30</v>
      </c>
      <c r="K31" s="210" t="s">
        <v>4655</v>
      </c>
      <c r="L31" s="111">
        <v>4724483</v>
      </c>
      <c r="M31" s="210">
        <v>2.5</v>
      </c>
      <c r="N31" s="111">
        <f t="shared" si="0"/>
        <v>11811207.5</v>
      </c>
      <c r="O31" s="97" t="s">
        <v>744</v>
      </c>
    </row>
    <row r="32" spans="1:20">
      <c r="A32" s="97" t="s">
        <v>4632</v>
      </c>
      <c r="B32" s="93">
        <v>4100000</v>
      </c>
      <c r="C32" s="93">
        <v>4220000</v>
      </c>
      <c r="D32" s="93">
        <v>11800</v>
      </c>
      <c r="E32" s="93">
        <v>11980</v>
      </c>
      <c r="J32" s="210">
        <v>31</v>
      </c>
      <c r="K32" s="210" t="s">
        <v>4655</v>
      </c>
      <c r="L32" s="111">
        <v>4724483</v>
      </c>
      <c r="M32" s="210">
        <v>2.5</v>
      </c>
      <c r="N32" s="111">
        <f t="shared" si="0"/>
        <v>11811207.5</v>
      </c>
      <c r="O32" s="97" t="s">
        <v>452</v>
      </c>
    </row>
    <row r="33" spans="1:19">
      <c r="A33" s="97" t="s">
        <v>4633</v>
      </c>
      <c r="B33" s="93">
        <v>4220000</v>
      </c>
      <c r="C33" s="93">
        <v>4320000</v>
      </c>
      <c r="D33" s="93">
        <v>11900</v>
      </c>
      <c r="E33" s="93">
        <v>12050</v>
      </c>
      <c r="J33" s="210">
        <v>32</v>
      </c>
      <c r="K33" s="210" t="s">
        <v>4670</v>
      </c>
      <c r="L33" s="111">
        <v>4852712</v>
      </c>
      <c r="M33" s="210">
        <v>8.5</v>
      </c>
      <c r="N33" s="111">
        <f t="shared" si="0"/>
        <v>41248052</v>
      </c>
      <c r="O33" s="97" t="s">
        <v>744</v>
      </c>
    </row>
    <row r="34" spans="1:19">
      <c r="A34" s="97" t="s">
        <v>4634</v>
      </c>
      <c r="B34" s="93">
        <v>4240000</v>
      </c>
      <c r="C34" s="93">
        <v>4340000</v>
      </c>
      <c r="D34" s="93">
        <v>12100</v>
      </c>
      <c r="E34" s="93">
        <v>12250</v>
      </c>
      <c r="I34" t="s">
        <v>25</v>
      </c>
      <c r="J34" s="210">
        <v>33</v>
      </c>
      <c r="K34" s="210" t="s">
        <v>4670</v>
      </c>
      <c r="L34" s="111">
        <v>4852712</v>
      </c>
      <c r="M34" s="210">
        <v>8.5</v>
      </c>
      <c r="N34" s="111">
        <f t="shared" si="0"/>
        <v>41248052</v>
      </c>
      <c r="O34" s="97" t="s">
        <v>452</v>
      </c>
    </row>
    <row r="35" spans="1:19">
      <c r="A35" s="97" t="s">
        <v>4643</v>
      </c>
      <c r="B35" s="93">
        <v>4230000</v>
      </c>
      <c r="C35" s="93">
        <v>4370000</v>
      </c>
      <c r="D35" s="93">
        <v>12100</v>
      </c>
      <c r="E35" s="93">
        <v>12250</v>
      </c>
      <c r="J35" s="210">
        <v>34</v>
      </c>
      <c r="K35" s="210" t="s">
        <v>4672</v>
      </c>
      <c r="L35" s="111">
        <v>4977171</v>
      </c>
      <c r="M35" s="210">
        <v>7.5</v>
      </c>
      <c r="N35" s="111">
        <f t="shared" si="0"/>
        <v>37328782.5</v>
      </c>
      <c r="O35" s="97" t="s">
        <v>744</v>
      </c>
    </row>
    <row r="36" spans="1:19">
      <c r="A36" s="97" t="s">
        <v>3668</v>
      </c>
      <c r="B36" s="93">
        <v>4300000</v>
      </c>
      <c r="C36" s="93">
        <v>4420000</v>
      </c>
      <c r="D36" s="93">
        <v>12300</v>
      </c>
      <c r="E36" s="93">
        <v>12400</v>
      </c>
      <c r="J36" s="210">
        <v>35</v>
      </c>
      <c r="K36" s="210" t="s">
        <v>4672</v>
      </c>
      <c r="L36" s="111">
        <v>4977171</v>
      </c>
      <c r="M36" s="210">
        <v>7.5</v>
      </c>
      <c r="N36" s="111">
        <f t="shared" si="0"/>
        <v>37328782.5</v>
      </c>
      <c r="O36" s="97" t="s">
        <v>452</v>
      </c>
      <c r="R36" s="94"/>
    </row>
    <row r="37" spans="1:19">
      <c r="A37" s="97" t="s">
        <v>4655</v>
      </c>
      <c r="B37" s="93">
        <v>4370000</v>
      </c>
      <c r="C37" s="93">
        <v>4480000</v>
      </c>
      <c r="D37" s="93">
        <v>12600</v>
      </c>
      <c r="E37" s="93">
        <v>12700</v>
      </c>
      <c r="J37" s="210">
        <v>36</v>
      </c>
      <c r="K37" s="210" t="s">
        <v>4794</v>
      </c>
      <c r="L37" s="111">
        <v>5048479</v>
      </c>
      <c r="M37" s="210">
        <v>4</v>
      </c>
      <c r="N37" s="111">
        <f t="shared" si="0"/>
        <v>20193916</v>
      </c>
      <c r="O37" s="97" t="s">
        <v>744</v>
      </c>
    </row>
    <row r="38" spans="1:19">
      <c r="A38" s="97" t="s">
        <v>4658</v>
      </c>
      <c r="B38" s="93">
        <v>4470000</v>
      </c>
      <c r="C38" s="93">
        <v>4580000</v>
      </c>
      <c r="D38" s="93">
        <v>13050</v>
      </c>
      <c r="E38" s="93">
        <v>13200</v>
      </c>
      <c r="J38" s="210">
        <v>37</v>
      </c>
      <c r="K38" s="210" t="s">
        <v>4794</v>
      </c>
      <c r="L38" s="111">
        <v>5048479</v>
      </c>
      <c r="M38" s="210">
        <v>9</v>
      </c>
      <c r="N38" s="111">
        <f t="shared" si="0"/>
        <v>45436311</v>
      </c>
      <c r="O38" s="97" t="s">
        <v>452</v>
      </c>
    </row>
    <row r="39" spans="1:19">
      <c r="A39" s="97" t="s">
        <v>4664</v>
      </c>
      <c r="B39" s="93">
        <v>4600000</v>
      </c>
      <c r="C39" s="93">
        <v>4720000</v>
      </c>
      <c r="D39" s="93"/>
      <c r="E39" s="93"/>
      <c r="J39" s="210"/>
      <c r="K39" s="210"/>
      <c r="L39" s="111"/>
      <c r="M39" s="210"/>
      <c r="N39" s="111"/>
      <c r="O39" s="97"/>
    </row>
    <row r="40" spans="1:19">
      <c r="A40" s="97" t="s">
        <v>4670</v>
      </c>
      <c r="B40" s="93">
        <v>4530000</v>
      </c>
      <c r="C40" s="93">
        <v>4680000</v>
      </c>
      <c r="D40" s="93">
        <v>13000</v>
      </c>
      <c r="E40" s="93">
        <v>13150</v>
      </c>
      <c r="J40" s="166"/>
      <c r="K40" s="166"/>
      <c r="L40" s="111" t="s">
        <v>25</v>
      </c>
      <c r="M40" s="166"/>
      <c r="N40" s="111"/>
      <c r="O40" s="97"/>
    </row>
    <row r="41" spans="1:19">
      <c r="A41" s="97" t="s">
        <v>4672</v>
      </c>
      <c r="B41" s="93">
        <v>4750000</v>
      </c>
      <c r="C41" s="93">
        <v>4900000</v>
      </c>
      <c r="D41" s="93">
        <v>13750</v>
      </c>
      <c r="E41" s="93">
        <v>13900</v>
      </c>
      <c r="J41" s="166"/>
      <c r="K41" s="166"/>
      <c r="L41" s="166"/>
      <c r="M41" s="166">
        <f>SUM(M2:M40)</f>
        <v>140</v>
      </c>
      <c r="N41" s="111">
        <f>SUM(N2:N40)</f>
        <v>618472600</v>
      </c>
      <c r="O41" s="167">
        <f>N41/(M41-3)</f>
        <v>4514398.5401459858</v>
      </c>
    </row>
    <row r="42" spans="1:19">
      <c r="A42" s="97" t="s">
        <v>4679</v>
      </c>
      <c r="B42" s="93">
        <v>4700000</v>
      </c>
      <c r="C42" s="93">
        <v>4850000</v>
      </c>
      <c r="D42" s="93">
        <v>13650</v>
      </c>
      <c r="E42" s="93">
        <v>13800</v>
      </c>
      <c r="J42" s="166"/>
      <c r="K42" s="166"/>
      <c r="L42" s="166"/>
      <c r="M42" s="166" t="s">
        <v>6</v>
      </c>
      <c r="N42" s="166"/>
      <c r="O42" s="97"/>
      <c r="P42">
        <f>O44/2</f>
        <v>37328780.5</v>
      </c>
      <c r="Q42">
        <f>O44/15</f>
        <v>4977170.7333333334</v>
      </c>
    </row>
    <row r="43" spans="1:19">
      <c r="A43" s="97" t="s">
        <v>4685</v>
      </c>
      <c r="B43" s="93">
        <v>4550000</v>
      </c>
      <c r="C43" s="93">
        <v>4750000</v>
      </c>
      <c r="D43" s="93">
        <v>13400</v>
      </c>
      <c r="E43" s="93">
        <v>13500</v>
      </c>
      <c r="M43" s="111">
        <f>N41/(M41-3)</f>
        <v>4514398.5401459858</v>
      </c>
      <c r="S43" t="s">
        <v>25</v>
      </c>
    </row>
    <row r="44" spans="1:19">
      <c r="A44" s="97" t="s">
        <v>4692</v>
      </c>
      <c r="B44" s="93">
        <v>4580000</v>
      </c>
      <c r="C44" s="93">
        <v>4750000</v>
      </c>
      <c r="D44" s="93">
        <v>13350</v>
      </c>
      <c r="E44" s="93">
        <v>13500</v>
      </c>
      <c r="I44" s="41"/>
      <c r="M44" s="41" t="s">
        <v>4473</v>
      </c>
      <c r="N44" t="s">
        <v>25</v>
      </c>
      <c r="O44" s="218">
        <v>74657561</v>
      </c>
      <c r="R44" t="s">
        <v>25</v>
      </c>
    </row>
    <row r="45" spans="1:19">
      <c r="A45" s="97" t="s">
        <v>4700</v>
      </c>
      <c r="B45" s="93">
        <v>4500000</v>
      </c>
      <c r="C45" s="93">
        <v>4650000</v>
      </c>
      <c r="D45" s="93">
        <v>13250</v>
      </c>
      <c r="E45" s="93">
        <v>13450</v>
      </c>
    </row>
    <row r="46" spans="1:19">
      <c r="A46" s="97" t="s">
        <v>4705</v>
      </c>
      <c r="B46" s="93">
        <v>4620000</v>
      </c>
      <c r="C46" s="93">
        <v>4770000</v>
      </c>
      <c r="D46" s="93">
        <v>13600</v>
      </c>
      <c r="E46" s="93">
        <v>13700</v>
      </c>
    </row>
    <row r="47" spans="1:19">
      <c r="A47" s="97" t="s">
        <v>4709</v>
      </c>
      <c r="B47" s="93">
        <v>4400000</v>
      </c>
      <c r="C47" s="93">
        <v>4600000</v>
      </c>
      <c r="D47" s="93">
        <v>13200</v>
      </c>
      <c r="E47" s="93">
        <v>13400</v>
      </c>
      <c r="L47">
        <f>140-M41</f>
        <v>0</v>
      </c>
      <c r="M47">
        <f>70-M2-M4-M5-M7-M9-M10-M12-M14-M16-M18-M20-M22-M25-M27-M29-M31-M33-M35-M37</f>
        <v>0</v>
      </c>
      <c r="N47" t="s">
        <v>481</v>
      </c>
    </row>
    <row r="48" spans="1:19">
      <c r="A48" s="97" t="s">
        <v>4710</v>
      </c>
      <c r="B48" s="93">
        <v>4250000</v>
      </c>
      <c r="C48" s="93">
        <v>4450000</v>
      </c>
      <c r="D48" s="93">
        <v>12750</v>
      </c>
      <c r="E48" s="93">
        <v>12900</v>
      </c>
      <c r="M48">
        <f>65-M3-M6-M8-M11-M13-M15-M17-M19-M21-M23-M26-M28-M30-M32-M34-M36-M38</f>
        <v>0</v>
      </c>
      <c r="N48" t="s">
        <v>5</v>
      </c>
    </row>
    <row r="49" spans="1:17">
      <c r="A49" s="97" t="s">
        <v>4718</v>
      </c>
      <c r="B49" s="93">
        <v>4380000</v>
      </c>
      <c r="C49" s="93">
        <v>4520000</v>
      </c>
      <c r="D49" s="93">
        <v>12750</v>
      </c>
      <c r="E49" s="93">
        <v>12900</v>
      </c>
      <c r="K49">
        <v>16</v>
      </c>
      <c r="L49" s="218">
        <v>807756734</v>
      </c>
      <c r="M49">
        <f>L49/16</f>
        <v>50484795.875</v>
      </c>
      <c r="N49">
        <f>M49*4</f>
        <v>201939183.5</v>
      </c>
    </row>
    <row r="50" spans="1:17">
      <c r="A50" s="97" t="s">
        <v>4721</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4740</v>
      </c>
      <c r="B52" s="93">
        <v>4480000</v>
      </c>
      <c r="C52" s="93">
        <v>4600000</v>
      </c>
      <c r="D52" s="93">
        <v>13050</v>
      </c>
      <c r="E52" s="93">
        <v>13200</v>
      </c>
      <c r="K52" s="166" t="s">
        <v>4482</v>
      </c>
      <c r="L52" s="166" t="s">
        <v>1070</v>
      </c>
      <c r="M52" s="166" t="s">
        <v>4219</v>
      </c>
      <c r="N52" s="166" t="s">
        <v>4498</v>
      </c>
      <c r="O52" s="166"/>
    </row>
    <row r="53" spans="1:17">
      <c r="A53" s="97" t="s">
        <v>4742</v>
      </c>
      <c r="B53" s="93">
        <v>4400000</v>
      </c>
      <c r="C53" s="93">
        <v>4550000</v>
      </c>
      <c r="D53" s="93">
        <v>12850</v>
      </c>
      <c r="E53" s="93">
        <v>13000</v>
      </c>
      <c r="K53" s="166" t="s">
        <v>4472</v>
      </c>
      <c r="L53" s="166">
        <v>3390000</v>
      </c>
      <c r="M53" s="166">
        <v>161.4</v>
      </c>
      <c r="N53" s="166">
        <f>L53/M53</f>
        <v>21003.717472118959</v>
      </c>
      <c r="O53" s="166"/>
    </row>
    <row r="54" spans="1:17">
      <c r="A54" s="97" t="s">
        <v>4744</v>
      </c>
      <c r="B54" s="93">
        <v>4400000</v>
      </c>
      <c r="C54" s="93">
        <v>4520000</v>
      </c>
      <c r="D54" s="93">
        <v>12800</v>
      </c>
      <c r="E54" s="93">
        <v>12950</v>
      </c>
      <c r="K54" s="166"/>
      <c r="L54" s="166"/>
      <c r="M54" s="166"/>
      <c r="N54" s="166"/>
      <c r="O54" s="166"/>
    </row>
    <row r="55" spans="1:17">
      <c r="A55" s="97" t="s">
        <v>4747</v>
      </c>
      <c r="B55" s="93">
        <v>4460000</v>
      </c>
      <c r="C55" s="93">
        <v>4580000</v>
      </c>
      <c r="D55" s="93">
        <v>12850</v>
      </c>
      <c r="E55" s="93">
        <v>13000</v>
      </c>
      <c r="K55" s="166"/>
      <c r="L55" s="166"/>
      <c r="M55" s="166"/>
      <c r="N55" s="166"/>
      <c r="O55" s="166"/>
    </row>
    <row r="56" spans="1:17">
      <c r="A56" s="97" t="s">
        <v>4753</v>
      </c>
      <c r="B56" s="93">
        <v>4500000</v>
      </c>
      <c r="C56" s="93">
        <v>4620000</v>
      </c>
      <c r="D56" s="93">
        <v>13000</v>
      </c>
      <c r="E56" s="93">
        <v>13200</v>
      </c>
      <c r="K56" s="166"/>
      <c r="L56" s="166"/>
      <c r="M56" s="166"/>
      <c r="N56" s="166"/>
      <c r="O56" s="166"/>
    </row>
    <row r="57" spans="1:17">
      <c r="A57" s="97" t="s">
        <v>4758</v>
      </c>
      <c r="B57" s="93">
        <v>4450000</v>
      </c>
      <c r="C57" s="93">
        <v>4600000</v>
      </c>
      <c r="D57" s="93">
        <v>12850</v>
      </c>
      <c r="E57" s="93">
        <v>13050</v>
      </c>
      <c r="K57" s="166"/>
      <c r="L57" s="166"/>
      <c r="M57" s="166"/>
      <c r="N57" s="166"/>
      <c r="O57" s="166"/>
    </row>
    <row r="58" spans="1:17">
      <c r="A58" s="97" t="s">
        <v>4767</v>
      </c>
      <c r="B58" s="93">
        <v>4500000</v>
      </c>
      <c r="C58" s="93">
        <v>4650000</v>
      </c>
      <c r="D58" s="93">
        <v>12900</v>
      </c>
      <c r="E58" s="93">
        <v>13100</v>
      </c>
      <c r="K58" s="166"/>
      <c r="L58" s="166"/>
      <c r="M58" s="166"/>
      <c r="N58" s="166"/>
      <c r="O58" s="166"/>
    </row>
    <row r="59" spans="1:17">
      <c r="A59" s="97" t="s">
        <v>4794</v>
      </c>
      <c r="B59" s="93">
        <v>4700000</v>
      </c>
      <c r="C59" s="93">
        <v>4800000</v>
      </c>
      <c r="D59" s="93">
        <v>13300</v>
      </c>
      <c r="E59" s="93">
        <v>13450</v>
      </c>
      <c r="K59" s="166"/>
      <c r="L59" s="166"/>
      <c r="M59" s="166"/>
      <c r="N59" s="166"/>
      <c r="O59" s="166"/>
    </row>
    <row r="60" spans="1:17">
      <c r="A60" s="97" t="s">
        <v>4795</v>
      </c>
      <c r="B60" s="93">
        <v>4750000</v>
      </c>
      <c r="C60" s="93">
        <v>4850000</v>
      </c>
      <c r="D60" s="93">
        <v>13500</v>
      </c>
      <c r="E60" s="93">
        <v>13650</v>
      </c>
      <c r="K60" s="166"/>
      <c r="L60" s="166"/>
      <c r="M60" s="166"/>
      <c r="N60" s="166"/>
      <c r="O60" s="166"/>
    </row>
    <row r="61" spans="1:17">
      <c r="A61" s="97" t="s">
        <v>4802</v>
      </c>
      <c r="B61" s="93">
        <v>4850000</v>
      </c>
      <c r="C61" s="93">
        <v>4950000</v>
      </c>
      <c r="D61" s="93">
        <v>13750</v>
      </c>
      <c r="E61" s="93">
        <v>13900</v>
      </c>
    </row>
    <row r="62" spans="1:17">
      <c r="A62" s="97" t="s">
        <v>4818</v>
      </c>
      <c r="B62" s="93">
        <v>4680000</v>
      </c>
      <c r="C62" s="93">
        <v>4780000</v>
      </c>
      <c r="D62" s="93">
        <v>13500</v>
      </c>
      <c r="E62" s="93">
        <v>13650</v>
      </c>
    </row>
    <row r="63" spans="1:17">
      <c r="A63" s="97" t="s">
        <v>4903</v>
      </c>
      <c r="B63" s="93">
        <v>4700000</v>
      </c>
      <c r="C63" s="93">
        <v>4830000</v>
      </c>
      <c r="D63" s="93">
        <v>13850</v>
      </c>
      <c r="E63" s="93">
        <v>14050</v>
      </c>
      <c r="I63" s="210" t="s">
        <v>8</v>
      </c>
      <c r="J63" s="210" t="s">
        <v>4682</v>
      </c>
      <c r="K63" s="210" t="s">
        <v>180</v>
      </c>
      <c r="L63" s="221" t="s">
        <v>4680</v>
      </c>
      <c r="M63" s="221" t="s">
        <v>4681</v>
      </c>
      <c r="N63" s="210" t="s">
        <v>6</v>
      </c>
      <c r="O63" s="210" t="s">
        <v>4683</v>
      </c>
      <c r="P63" s="210" t="s">
        <v>4694</v>
      </c>
    </row>
    <row r="64" spans="1:17">
      <c r="A64" s="97" t="s">
        <v>4943</v>
      </c>
      <c r="B64" s="93">
        <v>4600000</v>
      </c>
      <c r="C64" s="93">
        <v>4700000</v>
      </c>
      <c r="D64" s="93">
        <v>13300</v>
      </c>
      <c r="E64" s="93">
        <v>13500</v>
      </c>
      <c r="G64" t="s">
        <v>25</v>
      </c>
      <c r="I64" s="210"/>
      <c r="J64" s="210"/>
      <c r="K64" s="210" t="s">
        <v>4633</v>
      </c>
      <c r="L64" s="82">
        <v>535989412</v>
      </c>
      <c r="M64" s="82"/>
      <c r="N64" s="210"/>
      <c r="O64" s="210"/>
      <c r="P64" s="210"/>
      <c r="Q64" s="82">
        <v>0</v>
      </c>
    </row>
    <row r="65" spans="1:17">
      <c r="A65" s="97" t="s">
        <v>4978</v>
      </c>
      <c r="B65" s="93">
        <v>4520000</v>
      </c>
      <c r="C65" s="93">
        <v>4620000</v>
      </c>
      <c r="D65" s="93">
        <v>12950</v>
      </c>
      <c r="E65" s="93">
        <v>13150</v>
      </c>
      <c r="I65" s="210"/>
      <c r="J65" s="111">
        <f>L65-L64</f>
        <v>12939932</v>
      </c>
      <c r="K65" s="210" t="s">
        <v>4658</v>
      </c>
      <c r="L65" s="82">
        <v>548929344</v>
      </c>
      <c r="M65" s="82"/>
      <c r="N65" s="210"/>
      <c r="O65" s="210"/>
      <c r="P65" s="210"/>
      <c r="Q65" s="82">
        <v>0</v>
      </c>
    </row>
    <row r="66" spans="1:17">
      <c r="A66" s="97" t="s">
        <v>5012</v>
      </c>
      <c r="B66" s="93">
        <v>3900000</v>
      </c>
      <c r="C66" s="93">
        <v>4050000</v>
      </c>
      <c r="D66" s="93">
        <v>10900</v>
      </c>
      <c r="E66" s="93">
        <v>11150</v>
      </c>
      <c r="F66" t="s">
        <v>25</v>
      </c>
      <c r="I66" s="210"/>
      <c r="J66" s="111">
        <f t="shared" ref="J66:J88" si="1">L66-L65</f>
        <v>11531981</v>
      </c>
      <c r="K66" s="210" t="s">
        <v>4664</v>
      </c>
      <c r="L66" s="82">
        <v>560461325</v>
      </c>
      <c r="M66" s="82"/>
      <c r="N66" s="210"/>
      <c r="O66" s="210"/>
      <c r="P66" s="210"/>
      <c r="Q66" s="82">
        <v>0</v>
      </c>
    </row>
    <row r="67" spans="1:17">
      <c r="A67" s="97" t="s">
        <v>5051</v>
      </c>
      <c r="B67" s="93">
        <v>3950000</v>
      </c>
      <c r="C67" s="93">
        <v>4070000</v>
      </c>
      <c r="D67" s="93">
        <v>11000</v>
      </c>
      <c r="E67" s="93">
        <v>11200</v>
      </c>
      <c r="I67" s="210"/>
      <c r="J67" s="111">
        <f t="shared" si="1"/>
        <v>17387769</v>
      </c>
      <c r="K67" s="210" t="s">
        <v>4670</v>
      </c>
      <c r="L67" s="82">
        <v>577849094</v>
      </c>
      <c r="M67" s="82"/>
      <c r="N67" s="210"/>
      <c r="O67" s="210"/>
      <c r="P67" s="210"/>
      <c r="Q67" s="82">
        <v>0</v>
      </c>
    </row>
    <row r="68" spans="1:17">
      <c r="A68" s="97" t="s">
        <v>5054</v>
      </c>
      <c r="B68" s="93">
        <v>4050000</v>
      </c>
      <c r="C68" s="93">
        <v>4150000</v>
      </c>
      <c r="D68" s="93">
        <v>11150</v>
      </c>
      <c r="E68" s="93">
        <v>11350</v>
      </c>
      <c r="I68" s="210"/>
      <c r="J68" s="111">
        <f t="shared" si="1"/>
        <v>11024486</v>
      </c>
      <c r="K68" s="210" t="s">
        <v>4672</v>
      </c>
      <c r="L68" s="82">
        <v>588873580</v>
      </c>
      <c r="M68" s="82">
        <v>250255923</v>
      </c>
      <c r="N68" s="111">
        <f>L68+M68</f>
        <v>839129503</v>
      </c>
      <c r="O68" s="111">
        <f>M68-M67</f>
        <v>250255923</v>
      </c>
      <c r="P68" s="111">
        <f>N68-N67</f>
        <v>839129503</v>
      </c>
      <c r="Q68" s="82">
        <v>0</v>
      </c>
    </row>
    <row r="69" spans="1:17">
      <c r="A69" s="97" t="s">
        <v>5075</v>
      </c>
      <c r="B69" s="93">
        <v>4060000</v>
      </c>
      <c r="C69" s="93">
        <v>4160000</v>
      </c>
      <c r="D69" s="93">
        <v>11500</v>
      </c>
      <c r="E69" s="93">
        <v>11700</v>
      </c>
      <c r="I69" s="210"/>
      <c r="J69" s="111">
        <f t="shared" si="1"/>
        <v>-8942851</v>
      </c>
      <c r="K69" s="210" t="s">
        <v>4679</v>
      </c>
      <c r="L69" s="224">
        <v>579930729</v>
      </c>
      <c r="M69" s="82">
        <v>247714729</v>
      </c>
      <c r="N69" s="111">
        <f t="shared" ref="N69:N91" si="2">L69+M69</f>
        <v>827645458</v>
      </c>
      <c r="O69" s="111">
        <f t="shared" ref="O69:O88" si="3">M69-M68</f>
        <v>-2541194</v>
      </c>
      <c r="P69" s="111">
        <f t="shared" ref="P69:P88" si="4">N69-N68</f>
        <v>-11484045</v>
      </c>
      <c r="Q69" s="82">
        <v>0</v>
      </c>
    </row>
    <row r="70" spans="1:17">
      <c r="A70" s="97" t="s">
        <v>5077</v>
      </c>
      <c r="B70" s="93">
        <v>4020000</v>
      </c>
      <c r="C70" s="93">
        <v>4120000</v>
      </c>
      <c r="D70" s="93">
        <v>11400</v>
      </c>
      <c r="E70" s="93">
        <v>11600</v>
      </c>
      <c r="I70" s="5" t="s">
        <v>4691</v>
      </c>
      <c r="J70" s="35">
        <f t="shared" si="1"/>
        <v>45893629</v>
      </c>
      <c r="K70" s="5" t="s">
        <v>4685</v>
      </c>
      <c r="L70" s="229">
        <v>625824358</v>
      </c>
      <c r="M70" s="229">
        <v>243028777</v>
      </c>
      <c r="N70" s="35">
        <f t="shared" si="2"/>
        <v>868853135</v>
      </c>
      <c r="O70" s="35">
        <f t="shared" si="3"/>
        <v>-4685952</v>
      </c>
      <c r="P70" s="35">
        <f>N70-N69-50000000</f>
        <v>-8792323</v>
      </c>
      <c r="Q70" s="82">
        <v>50000000</v>
      </c>
    </row>
    <row r="71" spans="1:17">
      <c r="A71" s="97" t="s">
        <v>5082</v>
      </c>
      <c r="B71" s="93">
        <v>3930000</v>
      </c>
      <c r="C71" s="93">
        <v>4030000</v>
      </c>
      <c r="D71" s="93">
        <v>11100</v>
      </c>
      <c r="E71" s="93">
        <v>11300</v>
      </c>
      <c r="I71" s="210"/>
      <c r="J71" s="111">
        <f t="shared" si="1"/>
        <v>3462014</v>
      </c>
      <c r="K71" s="210" t="s">
        <v>4692</v>
      </c>
      <c r="L71" s="82">
        <v>629286372</v>
      </c>
      <c r="M71" s="82">
        <v>246690884</v>
      </c>
      <c r="N71" s="111">
        <f t="shared" si="2"/>
        <v>875977256</v>
      </c>
      <c r="O71" s="111">
        <f t="shared" si="3"/>
        <v>3662107</v>
      </c>
      <c r="P71" s="111">
        <f t="shared" si="4"/>
        <v>7124121</v>
      </c>
      <c r="Q71" s="82">
        <v>0</v>
      </c>
    </row>
    <row r="72" spans="1:17">
      <c r="A72" s="97" t="s">
        <v>5084</v>
      </c>
      <c r="B72" s="93">
        <v>3950000</v>
      </c>
      <c r="C72" s="93">
        <v>4050000</v>
      </c>
      <c r="D72" s="93">
        <v>11200</v>
      </c>
      <c r="E72" s="93">
        <v>11300</v>
      </c>
      <c r="I72" s="210"/>
      <c r="J72" s="111">
        <f t="shared" si="1"/>
        <v>-2687296</v>
      </c>
      <c r="K72" s="210" t="s">
        <v>4705</v>
      </c>
      <c r="L72" s="82">
        <v>626599076</v>
      </c>
      <c r="M72" s="82">
        <v>244530128</v>
      </c>
      <c r="N72" s="111">
        <f t="shared" si="2"/>
        <v>871129204</v>
      </c>
      <c r="O72" s="111">
        <f t="shared" si="3"/>
        <v>-2160756</v>
      </c>
      <c r="P72" s="111">
        <f t="shared" si="4"/>
        <v>-4848052</v>
      </c>
      <c r="Q72" s="82">
        <v>0</v>
      </c>
    </row>
    <row r="73" spans="1:17">
      <c r="A73" s="97" t="s">
        <v>5085</v>
      </c>
      <c r="B73" s="93">
        <v>3970000</v>
      </c>
      <c r="C73" s="93">
        <v>4070000</v>
      </c>
      <c r="D73" s="93">
        <v>11250</v>
      </c>
      <c r="E73" s="93">
        <v>11400</v>
      </c>
      <c r="I73" s="210"/>
      <c r="J73" s="111">
        <f t="shared" si="1"/>
        <v>-6009466</v>
      </c>
      <c r="K73" s="210" t="s">
        <v>4709</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10"/>
      <c r="J74" s="111">
        <f t="shared" si="1"/>
        <v>-1273071</v>
      </c>
      <c r="K74" s="210" t="s">
        <v>4710</v>
      </c>
      <c r="L74" s="82">
        <v>619316539</v>
      </c>
      <c r="M74" s="82">
        <v>242985726</v>
      </c>
      <c r="N74" s="111">
        <f t="shared" si="2"/>
        <v>862302265</v>
      </c>
      <c r="O74" s="111">
        <f t="shared" si="3"/>
        <v>18042</v>
      </c>
      <c r="P74" s="111">
        <f t="shared" si="4"/>
        <v>-1255029</v>
      </c>
      <c r="Q74" s="82">
        <v>0</v>
      </c>
    </row>
    <row r="75" spans="1:17">
      <c r="A75" s="97" t="s">
        <v>5087</v>
      </c>
      <c r="B75" s="93">
        <v>4020000</v>
      </c>
      <c r="C75" s="93">
        <v>4120000</v>
      </c>
      <c r="D75" s="93">
        <v>11350</v>
      </c>
      <c r="E75" s="93">
        <v>11500</v>
      </c>
      <c r="I75" s="210"/>
      <c r="J75" s="111">
        <f t="shared" si="1"/>
        <v>112274</v>
      </c>
      <c r="K75" s="210" t="s">
        <v>4718</v>
      </c>
      <c r="L75" s="82">
        <v>619428813</v>
      </c>
      <c r="M75" s="82">
        <v>242060147</v>
      </c>
      <c r="N75" s="111">
        <f t="shared" si="2"/>
        <v>861488960</v>
      </c>
      <c r="O75" s="111">
        <f t="shared" si="3"/>
        <v>-925579</v>
      </c>
      <c r="P75" s="111">
        <f t="shared" si="4"/>
        <v>-813305</v>
      </c>
      <c r="Q75" s="82">
        <v>0</v>
      </c>
    </row>
    <row r="76" spans="1:17">
      <c r="A76" s="97" t="s">
        <v>5090</v>
      </c>
      <c r="B76" s="93">
        <v>4000000</v>
      </c>
      <c r="C76" s="93">
        <v>4100000</v>
      </c>
      <c r="D76" s="93">
        <v>11250</v>
      </c>
      <c r="E76" s="93">
        <v>11400</v>
      </c>
      <c r="G76" t="s">
        <v>25</v>
      </c>
      <c r="I76" s="210"/>
      <c r="J76" s="111">
        <f t="shared" si="1"/>
        <v>6567221</v>
      </c>
      <c r="K76" s="210" t="s">
        <v>4721</v>
      </c>
      <c r="L76" s="82">
        <v>625996034</v>
      </c>
      <c r="M76" s="82">
        <v>242597875</v>
      </c>
      <c r="N76" s="111">
        <f t="shared" si="2"/>
        <v>868593909</v>
      </c>
      <c r="O76" s="111">
        <f t="shared" si="3"/>
        <v>537728</v>
      </c>
      <c r="P76" s="111">
        <f t="shared" si="4"/>
        <v>7104949</v>
      </c>
      <c r="Q76" s="82">
        <v>0</v>
      </c>
    </row>
    <row r="77" spans="1:17">
      <c r="A77" s="97" t="s">
        <v>5130</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4740</v>
      </c>
      <c r="L78" s="82">
        <v>636519641</v>
      </c>
      <c r="M78" s="82">
        <v>248242879</v>
      </c>
      <c r="N78" s="111">
        <f t="shared" si="2"/>
        <v>884762520</v>
      </c>
      <c r="O78" s="111">
        <f t="shared" si="3"/>
        <v>4357917</v>
      </c>
      <c r="P78" s="111">
        <f t="shared" si="4"/>
        <v>10404473</v>
      </c>
      <c r="Q78" s="82">
        <v>0</v>
      </c>
    </row>
    <row r="79" spans="1:17">
      <c r="A79" s="97" t="s">
        <v>5138</v>
      </c>
      <c r="B79" s="93">
        <v>3940000</v>
      </c>
      <c r="C79" s="93">
        <v>4020000</v>
      </c>
      <c r="D79" s="93">
        <v>11250</v>
      </c>
      <c r="E79" s="93">
        <v>11450</v>
      </c>
      <c r="I79" s="210"/>
      <c r="J79" s="111">
        <f t="shared" si="1"/>
        <v>6885870</v>
      </c>
      <c r="K79" s="210" t="s">
        <v>4742</v>
      </c>
      <c r="L79" s="82">
        <v>643405511</v>
      </c>
      <c r="M79" s="82">
        <v>252682386</v>
      </c>
      <c r="N79" s="111">
        <f t="shared" si="2"/>
        <v>896087897</v>
      </c>
      <c r="O79" s="111">
        <f t="shared" si="3"/>
        <v>4439507</v>
      </c>
      <c r="P79" s="111">
        <f t="shared" si="4"/>
        <v>11325377</v>
      </c>
      <c r="Q79" s="82">
        <v>0</v>
      </c>
    </row>
    <row r="80" spans="1:17">
      <c r="A80" s="97" t="s">
        <v>5141</v>
      </c>
      <c r="B80" s="93">
        <v>3940000</v>
      </c>
      <c r="C80" s="93">
        <v>4020000</v>
      </c>
      <c r="D80" s="93">
        <v>11250</v>
      </c>
      <c r="E80" s="93">
        <v>11450</v>
      </c>
      <c r="G80" t="s">
        <v>25</v>
      </c>
      <c r="I80" s="5" t="s">
        <v>4757</v>
      </c>
      <c r="J80" s="35">
        <f t="shared" si="1"/>
        <v>-1984018</v>
      </c>
      <c r="K80" s="5" t="s">
        <v>4744</v>
      </c>
      <c r="L80" s="229">
        <v>641421493</v>
      </c>
      <c r="M80" s="229">
        <v>250864833</v>
      </c>
      <c r="N80" s="35">
        <f t="shared" si="2"/>
        <v>892286326</v>
      </c>
      <c r="O80" s="35">
        <f t="shared" si="3"/>
        <v>-1817553</v>
      </c>
      <c r="P80" s="35">
        <f>N80-N79-2000000</f>
        <v>-5801571</v>
      </c>
      <c r="Q80" s="82">
        <v>2000000</v>
      </c>
    </row>
    <row r="81" spans="1:21">
      <c r="A81" s="97" t="s">
        <v>5142</v>
      </c>
      <c r="B81" s="93">
        <v>3940000</v>
      </c>
      <c r="C81" s="93">
        <v>4020000</v>
      </c>
      <c r="D81" s="93">
        <v>11300</v>
      </c>
      <c r="E81" s="93">
        <v>11450</v>
      </c>
      <c r="I81" s="210"/>
      <c r="J81" s="111">
        <f t="shared" si="1"/>
        <v>6117877</v>
      </c>
      <c r="K81" s="210" t="s">
        <v>4747</v>
      </c>
      <c r="L81" s="82">
        <v>647539370</v>
      </c>
      <c r="M81" s="82">
        <v>254691103</v>
      </c>
      <c r="N81" s="215">
        <f t="shared" si="2"/>
        <v>902230473</v>
      </c>
      <c r="O81" s="111">
        <f t="shared" si="3"/>
        <v>3826270</v>
      </c>
      <c r="P81" s="111">
        <f t="shared" si="4"/>
        <v>9944147</v>
      </c>
      <c r="Q81" s="82">
        <v>0</v>
      </c>
    </row>
    <row r="82" spans="1:21">
      <c r="A82" s="97" t="s">
        <v>5145</v>
      </c>
      <c r="B82" s="93">
        <v>3970000</v>
      </c>
      <c r="C82" s="93">
        <v>4030000</v>
      </c>
      <c r="D82" s="93">
        <v>11300</v>
      </c>
      <c r="E82" s="93">
        <v>11500</v>
      </c>
      <c r="I82" s="231" t="s">
        <v>4756</v>
      </c>
      <c r="J82" s="84">
        <f t="shared" si="1"/>
        <v>8860702</v>
      </c>
      <c r="K82" s="189" t="s">
        <v>4753</v>
      </c>
      <c r="L82" s="230">
        <v>656400072</v>
      </c>
      <c r="M82" s="230">
        <v>260846052</v>
      </c>
      <c r="N82" s="215">
        <f t="shared" si="2"/>
        <v>917246124</v>
      </c>
      <c r="O82" s="84">
        <f t="shared" si="3"/>
        <v>6154949</v>
      </c>
      <c r="P82" s="84">
        <f>N82-N81-4250000</f>
        <v>10765651</v>
      </c>
      <c r="Q82" s="82">
        <v>4250000</v>
      </c>
    </row>
    <row r="83" spans="1:21" ht="30">
      <c r="A83" s="97" t="s">
        <v>977</v>
      </c>
      <c r="B83" s="93">
        <v>3920000</v>
      </c>
      <c r="C83" s="93">
        <v>3990000</v>
      </c>
      <c r="D83" s="93">
        <v>11200</v>
      </c>
      <c r="E83" s="93">
        <v>11350</v>
      </c>
      <c r="I83" s="231" t="s">
        <v>4765</v>
      </c>
      <c r="J83" s="84">
        <f>L83-L82+31412200</f>
        <v>20439704</v>
      </c>
      <c r="K83" s="189" t="s">
        <v>4758</v>
      </c>
      <c r="L83" s="230">
        <v>645427576</v>
      </c>
      <c r="M83" s="230">
        <v>263837297</v>
      </c>
      <c r="N83" s="215">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4766</v>
      </c>
      <c r="J84" s="186">
        <f t="shared" si="1"/>
        <v>21224293</v>
      </c>
      <c r="K84" s="187" t="s">
        <v>4767</v>
      </c>
      <c r="L84" s="232">
        <v>666651869</v>
      </c>
      <c r="M84" s="232">
        <v>303563891</v>
      </c>
      <c r="N84" s="215">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5">
        <f t="shared" si="2"/>
        <v>978952355</v>
      </c>
      <c r="O85" s="111">
        <f t="shared" si="3"/>
        <v>-741512</v>
      </c>
      <c r="P85" s="111">
        <f t="shared" si="4"/>
        <v>8736595</v>
      </c>
      <c r="Q85" s="82">
        <v>0</v>
      </c>
    </row>
    <row r="86" spans="1:21">
      <c r="A86" s="97"/>
      <c r="B86" s="93"/>
      <c r="C86" s="93"/>
      <c r="D86" s="93"/>
      <c r="E86" s="93"/>
      <c r="I86" s="210"/>
      <c r="J86" s="111">
        <f t="shared" si="1"/>
        <v>-8249999</v>
      </c>
      <c r="K86" s="210" t="s">
        <v>4773</v>
      </c>
      <c r="L86" s="82">
        <v>667879977</v>
      </c>
      <c r="M86" s="82">
        <v>298414541</v>
      </c>
      <c r="N86" s="111">
        <f t="shared" si="2"/>
        <v>966294518</v>
      </c>
      <c r="O86" s="111">
        <f t="shared" si="3"/>
        <v>-4407838</v>
      </c>
      <c r="P86" s="111">
        <f t="shared" si="4"/>
        <v>-12657837</v>
      </c>
      <c r="Q86" s="82">
        <v>0</v>
      </c>
    </row>
    <row r="87" spans="1:21">
      <c r="A87" s="97"/>
      <c r="B87" s="93"/>
      <c r="C87" s="93"/>
      <c r="D87" s="93"/>
      <c r="E87" s="93"/>
      <c r="I87" s="233" t="s">
        <v>4784</v>
      </c>
      <c r="J87" s="194">
        <f>L87-L86-20000</f>
        <v>7878257</v>
      </c>
      <c r="K87" s="188" t="s">
        <v>4774</v>
      </c>
      <c r="L87" s="234">
        <v>675778234</v>
      </c>
      <c r="M87" s="234">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4786</v>
      </c>
      <c r="L88" s="82">
        <v>692810230</v>
      </c>
      <c r="M88" s="82">
        <v>311823171</v>
      </c>
      <c r="N88" s="215">
        <f t="shared" si="2"/>
        <v>1004633401</v>
      </c>
      <c r="O88" s="111">
        <f t="shared" si="3"/>
        <v>9435121</v>
      </c>
      <c r="P88" s="111">
        <f t="shared" si="4"/>
        <v>26467117</v>
      </c>
      <c r="Q88" s="82">
        <v>0</v>
      </c>
    </row>
    <row r="89" spans="1:21">
      <c r="A89" s="97"/>
      <c r="B89" s="93"/>
      <c r="C89" s="93"/>
      <c r="D89" s="93"/>
      <c r="E89" s="93"/>
      <c r="I89" s="210"/>
      <c r="J89" s="111">
        <f>L89-L88</f>
        <v>-12175091</v>
      </c>
      <c r="K89" s="210" t="s">
        <v>4787</v>
      </c>
      <c r="L89" s="82">
        <v>680635139</v>
      </c>
      <c r="M89" s="82">
        <v>313005875</v>
      </c>
      <c r="N89" s="111">
        <f t="shared" si="2"/>
        <v>993641014</v>
      </c>
      <c r="O89" s="111">
        <f>M89-M88</f>
        <v>1182704</v>
      </c>
      <c r="P89" s="111">
        <f>N89-N88</f>
        <v>-10992387</v>
      </c>
      <c r="Q89" s="82">
        <v>0</v>
      </c>
    </row>
    <row r="90" spans="1:21">
      <c r="A90" s="97"/>
      <c r="B90" s="93"/>
      <c r="C90" s="93"/>
      <c r="D90" s="93"/>
      <c r="E90" s="93"/>
      <c r="I90" s="188" t="s">
        <v>4811</v>
      </c>
      <c r="J90" s="194">
        <f>L90-L89-1000000</f>
        <v>3840350</v>
      </c>
      <c r="K90" s="188" t="s">
        <v>4794</v>
      </c>
      <c r="L90" s="234">
        <v>685475489</v>
      </c>
      <c r="M90" s="234">
        <v>312030960</v>
      </c>
      <c r="N90" s="194">
        <f t="shared" si="2"/>
        <v>997506449</v>
      </c>
      <c r="O90" s="194">
        <f>M90-M89</f>
        <v>-974915</v>
      </c>
      <c r="P90" s="194">
        <f>N90-N89-1000000</f>
        <v>2865435</v>
      </c>
      <c r="Q90" s="82">
        <v>1000000</v>
      </c>
    </row>
    <row r="91" spans="1:21">
      <c r="I91" s="210"/>
      <c r="J91" s="111">
        <f t="shared" ref="J91:J141" si="5">L91-L90</f>
        <v>-12127865</v>
      </c>
      <c r="K91" s="210" t="s">
        <v>4795</v>
      </c>
      <c r="L91" s="82">
        <v>673347624</v>
      </c>
      <c r="M91" s="82">
        <v>308820785</v>
      </c>
      <c r="N91" s="111">
        <f t="shared" si="2"/>
        <v>982168409</v>
      </c>
      <c r="O91" s="111">
        <f>M91-M90</f>
        <v>-3210175</v>
      </c>
      <c r="P91" s="111">
        <f>N91-N90</f>
        <v>-15338040</v>
      </c>
      <c r="Q91" s="82">
        <v>0</v>
      </c>
    </row>
    <row r="92" spans="1:21">
      <c r="I92" s="210"/>
      <c r="J92" s="111">
        <f t="shared" si="5"/>
        <v>11765514</v>
      </c>
      <c r="K92" s="210" t="s">
        <v>4802</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4803</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4804</v>
      </c>
      <c r="L94" s="82">
        <v>698450869</v>
      </c>
      <c r="M94" s="82">
        <v>316326929</v>
      </c>
      <c r="N94" s="215">
        <f t="shared" si="6"/>
        <v>1014777798</v>
      </c>
      <c r="O94" s="111">
        <f t="shared" si="7"/>
        <v>3826929</v>
      </c>
      <c r="P94" s="111">
        <f t="shared" si="8"/>
        <v>14277798</v>
      </c>
      <c r="Q94" s="82">
        <v>0</v>
      </c>
    </row>
    <row r="95" spans="1:21">
      <c r="I95" s="188" t="s">
        <v>4810</v>
      </c>
      <c r="J95" s="194">
        <f>L95-L94-2520000</f>
        <v>-274657</v>
      </c>
      <c r="K95" s="188" t="s">
        <v>4807</v>
      </c>
      <c r="L95" s="234">
        <v>700696212</v>
      </c>
      <c r="M95" s="234">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4812</v>
      </c>
      <c r="L96" s="82">
        <v>704655817</v>
      </c>
      <c r="M96" s="82">
        <v>315439070</v>
      </c>
      <c r="N96" s="215">
        <f t="shared" si="6"/>
        <v>1020094887</v>
      </c>
      <c r="O96" s="111">
        <f t="shared" si="7"/>
        <v>1161552</v>
      </c>
      <c r="P96" s="111">
        <f t="shared" si="8"/>
        <v>5121157</v>
      </c>
      <c r="Q96" s="82">
        <v>0</v>
      </c>
    </row>
    <row r="97" spans="3:20">
      <c r="I97" s="210"/>
      <c r="J97" s="111">
        <f t="shared" si="5"/>
        <v>4588822</v>
      </c>
      <c r="K97" s="210" t="s">
        <v>4813</v>
      </c>
      <c r="L97" s="82">
        <v>709244639</v>
      </c>
      <c r="M97" s="82">
        <v>318439707</v>
      </c>
      <c r="N97" s="215">
        <f t="shared" si="6"/>
        <v>1027684346</v>
      </c>
      <c r="O97" s="111">
        <f t="shared" si="7"/>
        <v>3000637</v>
      </c>
      <c r="P97" s="111">
        <f t="shared" si="8"/>
        <v>7589459</v>
      </c>
      <c r="Q97" s="82">
        <v>0</v>
      </c>
    </row>
    <row r="98" spans="3:20">
      <c r="I98" s="210"/>
      <c r="J98" s="111">
        <f t="shared" si="5"/>
        <v>-11230604</v>
      </c>
      <c r="K98" s="210" t="s">
        <v>4815</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4816</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4818</v>
      </c>
      <c r="L100" s="82">
        <v>721578846</v>
      </c>
      <c r="M100" s="82">
        <v>322263065</v>
      </c>
      <c r="N100" s="215">
        <f t="shared" si="9"/>
        <v>1043841911</v>
      </c>
      <c r="O100" s="111">
        <f t="shared" si="10"/>
        <v>6467149</v>
      </c>
      <c r="P100" s="111">
        <f t="shared" si="11"/>
        <v>23745961</v>
      </c>
      <c r="Q100" s="82">
        <v>0</v>
      </c>
    </row>
    <row r="101" spans="3:20">
      <c r="I101" s="210"/>
      <c r="J101" s="111">
        <f t="shared" si="5"/>
        <v>287745</v>
      </c>
      <c r="K101" s="210" t="s">
        <v>4819</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4822</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4821</v>
      </c>
      <c r="L103" s="82">
        <v>716288384</v>
      </c>
      <c r="M103" s="82">
        <v>320388494</v>
      </c>
      <c r="N103" s="111">
        <f t="shared" si="9"/>
        <v>1036676878</v>
      </c>
      <c r="O103" s="111">
        <f t="shared" si="10"/>
        <v>1388494</v>
      </c>
      <c r="P103" s="111">
        <f t="shared" si="11"/>
        <v>1676878</v>
      </c>
      <c r="Q103" s="82">
        <v>0</v>
      </c>
    </row>
    <row r="104" spans="3:20">
      <c r="I104" s="188" t="s">
        <v>4862</v>
      </c>
      <c r="J104" s="194">
        <f>L104-L103-1400000</f>
        <v>-1688384</v>
      </c>
      <c r="K104" s="188" t="s">
        <v>4860</v>
      </c>
      <c r="L104" s="234">
        <v>716000000</v>
      </c>
      <c r="M104" s="234">
        <v>322000000</v>
      </c>
      <c r="N104" s="194">
        <f t="shared" si="9"/>
        <v>1038000000</v>
      </c>
      <c r="O104" s="194">
        <f t="shared" si="10"/>
        <v>1611506</v>
      </c>
      <c r="P104" s="194">
        <f>N104-N103-1400000</f>
        <v>-76878</v>
      </c>
      <c r="Q104" s="82">
        <v>1400000</v>
      </c>
    </row>
    <row r="105" spans="3:20">
      <c r="I105" s="210"/>
      <c r="J105" s="111">
        <f t="shared" si="5"/>
        <v>8529471</v>
      </c>
      <c r="K105" s="210" t="s">
        <v>4861</v>
      </c>
      <c r="L105" s="82">
        <v>724529471</v>
      </c>
      <c r="M105" s="82">
        <v>326836192</v>
      </c>
      <c r="N105" s="215">
        <f t="shared" si="9"/>
        <v>1051365663</v>
      </c>
      <c r="O105" s="111">
        <f t="shared" si="10"/>
        <v>4836192</v>
      </c>
      <c r="P105" s="111">
        <f t="shared" si="11"/>
        <v>13365663</v>
      </c>
      <c r="Q105" s="82">
        <v>0</v>
      </c>
    </row>
    <row r="106" spans="3:20">
      <c r="I106" s="187" t="s">
        <v>4864</v>
      </c>
      <c r="J106" s="186">
        <f>L106-L105-1550000</f>
        <v>16319322</v>
      </c>
      <c r="K106" s="187" t="s">
        <v>4863</v>
      </c>
      <c r="L106" s="232">
        <v>742398793</v>
      </c>
      <c r="M106" s="232">
        <v>333388204</v>
      </c>
      <c r="N106" s="215">
        <f t="shared" si="9"/>
        <v>1075786997</v>
      </c>
      <c r="O106" s="186">
        <f>M106-M105-1550000</f>
        <v>5002012</v>
      </c>
      <c r="P106" s="186">
        <f>N106-N105-3100000</f>
        <v>21321334</v>
      </c>
      <c r="Q106" s="82">
        <v>3100000</v>
      </c>
    </row>
    <row r="107" spans="3:20">
      <c r="I107" s="210"/>
      <c r="J107" s="111">
        <f t="shared" si="5"/>
        <v>7585832</v>
      </c>
      <c r="K107" s="210" t="s">
        <v>4865</v>
      </c>
      <c r="L107" s="82">
        <v>749984625</v>
      </c>
      <c r="M107" s="82">
        <v>336802679</v>
      </c>
      <c r="N107" s="215">
        <f t="shared" si="9"/>
        <v>1086787304</v>
      </c>
      <c r="O107" s="111">
        <f t="shared" si="10"/>
        <v>3414475</v>
      </c>
      <c r="P107" s="111">
        <f t="shared" si="11"/>
        <v>11000307</v>
      </c>
      <c r="Q107" s="82">
        <v>0</v>
      </c>
    </row>
    <row r="108" spans="3:20">
      <c r="I108" s="187" t="s">
        <v>4868</v>
      </c>
      <c r="J108" s="186">
        <f>L108-L107-250000</f>
        <v>9825827</v>
      </c>
      <c r="K108" s="187" t="s">
        <v>4814</v>
      </c>
      <c r="L108" s="232">
        <v>760060452</v>
      </c>
      <c r="M108" s="232">
        <v>342834562</v>
      </c>
      <c r="N108" s="215">
        <f t="shared" si="9"/>
        <v>1102895014</v>
      </c>
      <c r="O108" s="186">
        <f t="shared" si="10"/>
        <v>6031883</v>
      </c>
      <c r="P108" s="186">
        <f>N108-N107-250000</f>
        <v>15857710</v>
      </c>
      <c r="Q108" s="82">
        <v>250000</v>
      </c>
    </row>
    <row r="109" spans="3:20">
      <c r="I109" s="210"/>
      <c r="J109" s="111">
        <f t="shared" si="5"/>
        <v>4204925</v>
      </c>
      <c r="K109" s="210" t="s">
        <v>4869</v>
      </c>
      <c r="L109" s="82">
        <v>764265377</v>
      </c>
      <c r="M109" s="82">
        <v>346850621</v>
      </c>
      <c r="N109" s="215">
        <f t="shared" si="9"/>
        <v>1111115998</v>
      </c>
      <c r="O109" s="111">
        <f t="shared" si="10"/>
        <v>4016059</v>
      </c>
      <c r="P109" s="111">
        <f t="shared" si="11"/>
        <v>8220984</v>
      </c>
      <c r="Q109" s="82">
        <v>0</v>
      </c>
    </row>
    <row r="110" spans="3:20" ht="30">
      <c r="I110" s="238" t="s">
        <v>4875</v>
      </c>
      <c r="J110" s="239">
        <f>L110-L109+48527480</f>
        <v>-4646184</v>
      </c>
      <c r="K110" s="213" t="s">
        <v>4872</v>
      </c>
      <c r="L110" s="240">
        <v>711091713</v>
      </c>
      <c r="M110" s="240">
        <v>365802118</v>
      </c>
      <c r="N110" s="239">
        <f t="shared" si="9"/>
        <v>1076893831</v>
      </c>
      <c r="O110" s="239">
        <f>M110-M109+2668880-50000000</f>
        <v>-28379623</v>
      </c>
      <c r="P110" s="239">
        <f>N110-N109-50000000+48527480+2668880</f>
        <v>-33025807</v>
      </c>
      <c r="Q110" s="82">
        <v>-1196360</v>
      </c>
    </row>
    <row r="111" spans="3:20">
      <c r="I111" s="210"/>
      <c r="J111" s="111">
        <f t="shared" si="5"/>
        <v>12126436</v>
      </c>
      <c r="K111" s="210" t="s">
        <v>4877</v>
      </c>
      <c r="L111" s="82">
        <v>723218149</v>
      </c>
      <c r="M111" s="82">
        <v>378192152</v>
      </c>
      <c r="N111" s="111">
        <f t="shared" ref="N111:N122" si="12">L111+M111</f>
        <v>1101410301</v>
      </c>
      <c r="O111" s="111">
        <f t="shared" ref="O111:O144" si="13">M111-M110</f>
        <v>12390034</v>
      </c>
      <c r="P111" s="111">
        <f>N111-N110</f>
        <v>24516470</v>
      </c>
      <c r="Q111" s="82">
        <v>0</v>
      </c>
    </row>
    <row r="112" spans="3:20">
      <c r="I112" s="187" t="s">
        <v>4883</v>
      </c>
      <c r="J112" s="186">
        <f t="shared" si="5"/>
        <v>-11559770</v>
      </c>
      <c r="K112" s="187" t="s">
        <v>4878</v>
      </c>
      <c r="L112" s="232">
        <v>711658379</v>
      </c>
      <c r="M112" s="232">
        <v>375825031</v>
      </c>
      <c r="N112" s="186">
        <f t="shared" si="12"/>
        <v>1087483410</v>
      </c>
      <c r="O112" s="186">
        <f>M112-M111-400000</f>
        <v>-2767121</v>
      </c>
      <c r="P112" s="186">
        <f>N112-N111-400000</f>
        <v>-14326891</v>
      </c>
      <c r="Q112" s="82">
        <v>400000</v>
      </c>
      <c r="T112" t="s">
        <v>25</v>
      </c>
    </row>
    <row r="113" spans="9:19">
      <c r="I113" s="210" t="s">
        <v>4885</v>
      </c>
      <c r="J113" s="111">
        <f t="shared" si="5"/>
        <v>-47970668</v>
      </c>
      <c r="K113" s="210" t="s">
        <v>4884</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4886</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4887</v>
      </c>
      <c r="L115" s="82">
        <v>673546379</v>
      </c>
      <c r="M115" s="82">
        <v>385390359</v>
      </c>
      <c r="N115" s="111">
        <f t="shared" si="12"/>
        <v>1058936738</v>
      </c>
      <c r="O115" s="111">
        <f t="shared" si="13"/>
        <v>4912397</v>
      </c>
      <c r="P115" s="111">
        <f>N115-N114</f>
        <v>5263899</v>
      </c>
      <c r="Q115" s="82">
        <v>0</v>
      </c>
    </row>
    <row r="116" spans="9:19">
      <c r="I116" s="187" t="s">
        <v>4890</v>
      </c>
      <c r="J116" s="186">
        <f t="shared" si="5"/>
        <v>-3653734</v>
      </c>
      <c r="K116" s="187" t="s">
        <v>4888</v>
      </c>
      <c r="L116" s="232">
        <v>669892645</v>
      </c>
      <c r="M116" s="232">
        <v>383350206</v>
      </c>
      <c r="N116" s="186">
        <f>L116+M116</f>
        <v>1053242851</v>
      </c>
      <c r="O116" s="186">
        <f>M116-M115-2000000</f>
        <v>-4040153</v>
      </c>
      <c r="P116" s="186">
        <f>N116-N115-2000000</f>
        <v>-7693887</v>
      </c>
      <c r="Q116" s="82">
        <v>2000000</v>
      </c>
    </row>
    <row r="117" spans="9:19">
      <c r="I117" s="187" t="s">
        <v>4892</v>
      </c>
      <c r="J117" s="186">
        <f t="shared" si="5"/>
        <v>-492645</v>
      </c>
      <c r="K117" s="187" t="s">
        <v>4891</v>
      </c>
      <c r="L117" s="232">
        <v>669400000</v>
      </c>
      <c r="M117" s="232">
        <v>385000000</v>
      </c>
      <c r="N117" s="186">
        <f t="shared" si="12"/>
        <v>1054400000</v>
      </c>
      <c r="O117" s="186">
        <f>M117-M116-100000</f>
        <v>1549794</v>
      </c>
      <c r="P117" s="186">
        <f>N117-N116-100000</f>
        <v>1057149</v>
      </c>
      <c r="Q117" s="82">
        <v>100000</v>
      </c>
    </row>
    <row r="118" spans="9:19">
      <c r="I118" s="210"/>
      <c r="J118" s="111">
        <f t="shared" si="5"/>
        <v>7765061</v>
      </c>
      <c r="K118" s="210" t="s">
        <v>4893</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4894</v>
      </c>
      <c r="L119" s="82">
        <v>685000000</v>
      </c>
      <c r="M119" s="82">
        <v>395000000</v>
      </c>
      <c r="N119" s="111">
        <f t="shared" si="12"/>
        <v>1080000000</v>
      </c>
      <c r="O119" s="111">
        <f t="shared" si="13"/>
        <v>2295548</v>
      </c>
      <c r="P119" s="111">
        <f>N119-N118</f>
        <v>10130487</v>
      </c>
      <c r="Q119" s="82">
        <v>0</v>
      </c>
    </row>
    <row r="120" spans="9:19">
      <c r="I120" s="187" t="s">
        <v>4896</v>
      </c>
      <c r="J120" s="186">
        <f>L120-L119-2100000</f>
        <v>2603523</v>
      </c>
      <c r="K120" s="187" t="s">
        <v>4895</v>
      </c>
      <c r="L120" s="232">
        <v>689703523</v>
      </c>
      <c r="M120" s="232">
        <v>399879880</v>
      </c>
      <c r="N120" s="186">
        <f t="shared" si="12"/>
        <v>1089583403</v>
      </c>
      <c r="O120" s="186">
        <f t="shared" si="13"/>
        <v>4879880</v>
      </c>
      <c r="P120" s="186">
        <f>N120-N119-2100000</f>
        <v>7483403</v>
      </c>
      <c r="Q120" s="82">
        <v>2100000</v>
      </c>
    </row>
    <row r="121" spans="9:19">
      <c r="I121" s="187" t="s">
        <v>4899</v>
      </c>
      <c r="J121" s="186">
        <f>L121-L120-100000</f>
        <v>1223636</v>
      </c>
      <c r="K121" s="187" t="s">
        <v>4898</v>
      </c>
      <c r="L121" s="232">
        <v>691027159</v>
      </c>
      <c r="M121" s="232">
        <v>401920713</v>
      </c>
      <c r="N121" s="186">
        <f t="shared" si="12"/>
        <v>1092947872</v>
      </c>
      <c r="O121" s="186">
        <f>M121-M120-100000</f>
        <v>1940833</v>
      </c>
      <c r="P121" s="186">
        <f>N121-N120-200000</f>
        <v>3164469</v>
      </c>
      <c r="Q121" s="82">
        <v>200000</v>
      </c>
    </row>
    <row r="122" spans="9:19">
      <c r="I122" s="210"/>
      <c r="J122" s="111">
        <f t="shared" si="5"/>
        <v>-3258218</v>
      </c>
      <c r="K122" s="210" t="s">
        <v>4901</v>
      </c>
      <c r="L122" s="82">
        <v>687768941</v>
      </c>
      <c r="M122" s="82">
        <v>400952125</v>
      </c>
      <c r="N122" s="111">
        <f t="shared" si="12"/>
        <v>1088721066</v>
      </c>
      <c r="O122" s="111">
        <f t="shared" si="13"/>
        <v>-968588</v>
      </c>
      <c r="P122" s="111">
        <f>N122-N121</f>
        <v>-4226806</v>
      </c>
      <c r="Q122" s="224">
        <v>0</v>
      </c>
    </row>
    <row r="123" spans="9:19">
      <c r="I123" s="187" t="s">
        <v>4907</v>
      </c>
      <c r="J123" s="186">
        <f>L123-L122-115000</f>
        <v>-1004989</v>
      </c>
      <c r="K123" s="187" t="s">
        <v>4903</v>
      </c>
      <c r="L123" s="232">
        <v>686878952</v>
      </c>
      <c r="M123" s="232">
        <v>402566982</v>
      </c>
      <c r="N123" s="186">
        <f>L123+M123</f>
        <v>1089445934</v>
      </c>
      <c r="O123" s="186">
        <f>M123-M122-115000</f>
        <v>1499857</v>
      </c>
      <c r="P123" s="186">
        <f>N123-N122-230000</f>
        <v>494868</v>
      </c>
      <c r="Q123" s="224">
        <v>230000</v>
      </c>
    </row>
    <row r="124" spans="9:19">
      <c r="I124" s="187" t="s">
        <v>4910</v>
      </c>
      <c r="J124" s="186">
        <f>L124-L123-900000</f>
        <v>16455514</v>
      </c>
      <c r="K124" s="187" t="s">
        <v>4909</v>
      </c>
      <c r="L124" s="232">
        <v>704234466</v>
      </c>
      <c r="M124" s="232">
        <v>413359717</v>
      </c>
      <c r="N124" s="215">
        <f t="shared" ref="N124:N145" si="14">L124+M124</f>
        <v>1117594183</v>
      </c>
      <c r="O124" s="186">
        <f t="shared" si="13"/>
        <v>10792735</v>
      </c>
      <c r="P124" s="186">
        <f>N124-N123-900000</f>
        <v>27248249</v>
      </c>
      <c r="Q124" s="224">
        <v>900000</v>
      </c>
    </row>
    <row r="125" spans="9:19">
      <c r="I125" s="187" t="s">
        <v>4912</v>
      </c>
      <c r="J125" s="186">
        <f>L125-L124-241774</f>
        <v>7847987</v>
      </c>
      <c r="K125" s="187" t="s">
        <v>4911</v>
      </c>
      <c r="L125" s="232">
        <v>712324227</v>
      </c>
      <c r="M125" s="232">
        <v>416450606</v>
      </c>
      <c r="N125" s="215">
        <f>L125+M125</f>
        <v>1128774833</v>
      </c>
      <c r="O125" s="186">
        <f>M125-M124-50000</f>
        <v>3040889</v>
      </c>
      <c r="P125" s="186">
        <f>N125-N124-291774</f>
        <v>10888876</v>
      </c>
      <c r="Q125" s="224">
        <v>291774</v>
      </c>
    </row>
    <row r="126" spans="9:19">
      <c r="I126" s="187" t="s">
        <v>4920</v>
      </c>
      <c r="J126" s="186">
        <f>L126-L125-5701774</f>
        <v>-18426154</v>
      </c>
      <c r="K126" s="187" t="s">
        <v>4919</v>
      </c>
      <c r="L126" s="232">
        <v>699599847</v>
      </c>
      <c r="M126" s="232">
        <v>407446033</v>
      </c>
      <c r="N126" s="186">
        <f t="shared" si="14"/>
        <v>1107045880</v>
      </c>
      <c r="O126" s="186">
        <f>M126-M125-50000</f>
        <v>-9054573</v>
      </c>
      <c r="P126" s="186">
        <f>N126-N125-5751774</f>
        <v>-27480727</v>
      </c>
      <c r="Q126" s="224">
        <v>5751774</v>
      </c>
    </row>
    <row r="127" spans="9:19">
      <c r="I127" s="241" t="s">
        <v>4925</v>
      </c>
      <c r="J127" s="242">
        <f t="shared" si="5"/>
        <v>9831878</v>
      </c>
      <c r="K127" s="241" t="s">
        <v>4921</v>
      </c>
      <c r="L127" s="243">
        <v>709431725</v>
      </c>
      <c r="M127" s="243">
        <v>415572724</v>
      </c>
      <c r="N127" s="242">
        <f t="shared" si="14"/>
        <v>1125004449</v>
      </c>
      <c r="O127" s="242">
        <f>M127-M126-25000</f>
        <v>8101691</v>
      </c>
      <c r="P127" s="242">
        <f>N127-N126-25000</f>
        <v>17933569</v>
      </c>
      <c r="Q127" s="224">
        <v>25000</v>
      </c>
    </row>
    <row r="128" spans="9:19">
      <c r="I128" s="97"/>
      <c r="J128" s="111">
        <f t="shared" si="5"/>
        <v>3212707</v>
      </c>
      <c r="K128" s="210" t="s">
        <v>4926</v>
      </c>
      <c r="L128" s="82">
        <v>712644432</v>
      </c>
      <c r="M128" s="82">
        <v>416860968</v>
      </c>
      <c r="N128" s="111">
        <f t="shared" si="14"/>
        <v>1129505400</v>
      </c>
      <c r="O128" s="111">
        <f t="shared" si="13"/>
        <v>1288244</v>
      </c>
      <c r="P128" s="111">
        <f>N128-N127</f>
        <v>4500951</v>
      </c>
      <c r="Q128" s="224">
        <v>0</v>
      </c>
    </row>
    <row r="129" spans="9:30">
      <c r="I129" s="19"/>
      <c r="J129" s="115">
        <f t="shared" si="5"/>
        <v>3661985</v>
      </c>
      <c r="K129" s="19" t="s">
        <v>4927</v>
      </c>
      <c r="L129" s="245">
        <v>716306417</v>
      </c>
      <c r="M129" s="245">
        <v>419768145</v>
      </c>
      <c r="N129" s="215">
        <f>L129+M129</f>
        <v>1136074562</v>
      </c>
      <c r="O129" s="115">
        <f>M129-M128</f>
        <v>2907177</v>
      </c>
      <c r="P129" s="115">
        <f>N129-N128</f>
        <v>6569162</v>
      </c>
      <c r="Q129" s="224">
        <v>0</v>
      </c>
    </row>
    <row r="130" spans="9:30">
      <c r="I130" s="187" t="s">
        <v>4931</v>
      </c>
      <c r="J130" s="186">
        <f t="shared" si="5"/>
        <v>-9284823</v>
      </c>
      <c r="K130" s="187" t="s">
        <v>4929</v>
      </c>
      <c r="L130" s="232">
        <v>707021594</v>
      </c>
      <c r="M130" s="232">
        <v>420305454</v>
      </c>
      <c r="N130" s="186">
        <f t="shared" si="14"/>
        <v>1127327048</v>
      </c>
      <c r="O130" s="186">
        <f>M130-M129-6800000</f>
        <v>-6262691</v>
      </c>
      <c r="P130" s="186">
        <f>N130-N129-6800000</f>
        <v>-15547514</v>
      </c>
      <c r="Q130" s="224">
        <v>6800000</v>
      </c>
      <c r="S130" t="s">
        <v>25</v>
      </c>
    </row>
    <row r="131" spans="9:30">
      <c r="I131" s="187" t="s">
        <v>4937</v>
      </c>
      <c r="J131" s="186">
        <f t="shared" si="5"/>
        <v>2112595</v>
      </c>
      <c r="K131" s="187" t="s">
        <v>4932</v>
      </c>
      <c r="L131" s="232">
        <v>709134189</v>
      </c>
      <c r="M131" s="232">
        <v>421097153</v>
      </c>
      <c r="N131" s="186">
        <f t="shared" si="14"/>
        <v>1130231342</v>
      </c>
      <c r="O131" s="186">
        <f>M131-M130-500000</f>
        <v>291699</v>
      </c>
      <c r="P131" s="186">
        <f>N131-N130-500000</f>
        <v>2404294</v>
      </c>
      <c r="Q131" s="224">
        <v>500000</v>
      </c>
      <c r="S131" t="s">
        <v>25</v>
      </c>
    </row>
    <row r="132" spans="9:30">
      <c r="I132" s="241" t="s">
        <v>4940</v>
      </c>
      <c r="J132" s="242">
        <f t="shared" si="5"/>
        <v>1064287</v>
      </c>
      <c r="K132" s="241" t="s">
        <v>4938</v>
      </c>
      <c r="L132" s="243">
        <v>710198476</v>
      </c>
      <c r="M132" s="243">
        <v>422434338</v>
      </c>
      <c r="N132" s="242">
        <f t="shared" si="14"/>
        <v>1132632814</v>
      </c>
      <c r="O132" s="242">
        <f>M132-M131-850000</f>
        <v>487185</v>
      </c>
      <c r="P132" s="242">
        <f>N132-N131-850000</f>
        <v>1551472</v>
      </c>
      <c r="Q132" s="224">
        <v>850000</v>
      </c>
    </row>
    <row r="133" spans="9:30">
      <c r="I133" s="210"/>
      <c r="J133" s="111">
        <f t="shared" si="5"/>
        <v>12623812</v>
      </c>
      <c r="K133" s="210" t="s">
        <v>4943</v>
      </c>
      <c r="L133" s="82">
        <v>722822288</v>
      </c>
      <c r="M133" s="82">
        <v>429606125</v>
      </c>
      <c r="N133" s="215">
        <f t="shared" si="14"/>
        <v>1152428413</v>
      </c>
      <c r="O133" s="111">
        <f t="shared" si="13"/>
        <v>7171787</v>
      </c>
      <c r="P133" s="111">
        <f>N133-N132</f>
        <v>19795599</v>
      </c>
      <c r="Q133" s="224">
        <v>0</v>
      </c>
    </row>
    <row r="134" spans="9:30">
      <c r="I134" s="210"/>
      <c r="J134" s="111">
        <f t="shared" si="5"/>
        <v>21458282</v>
      </c>
      <c r="K134" s="210" t="s">
        <v>4944</v>
      </c>
      <c r="L134" s="82">
        <v>744280570</v>
      </c>
      <c r="M134" s="82">
        <v>440002399</v>
      </c>
      <c r="N134" s="215">
        <f t="shared" si="14"/>
        <v>1184282969</v>
      </c>
      <c r="O134" s="111">
        <f t="shared" si="13"/>
        <v>10396274</v>
      </c>
      <c r="P134" s="111">
        <f>N134-N133</f>
        <v>31854556</v>
      </c>
      <c r="Q134" s="224">
        <v>0</v>
      </c>
    </row>
    <row r="135" spans="9:30">
      <c r="I135" s="187" t="s">
        <v>4958</v>
      </c>
      <c r="J135" s="186">
        <f>L135-L134-1130250</f>
        <v>-410820</v>
      </c>
      <c r="K135" s="187" t="s">
        <v>4946</v>
      </c>
      <c r="L135" s="232">
        <v>745000000</v>
      </c>
      <c r="M135" s="232">
        <v>437000000</v>
      </c>
      <c r="N135" s="186">
        <f t="shared" si="14"/>
        <v>1182000000</v>
      </c>
      <c r="O135" s="186">
        <f>M135-M134-1130250</f>
        <v>-4132649</v>
      </c>
      <c r="P135" s="186">
        <f>N135-N134-2260500</f>
        <v>-4543469</v>
      </c>
      <c r="Q135" s="224">
        <v>2260500</v>
      </c>
    </row>
    <row r="136" spans="9:30">
      <c r="I136" s="210"/>
      <c r="J136" s="111">
        <f t="shared" si="5"/>
        <v>-6610338</v>
      </c>
      <c r="K136" s="210" t="s">
        <v>4949</v>
      </c>
      <c r="L136" s="82">
        <v>738389662</v>
      </c>
      <c r="M136" s="82">
        <v>433994737</v>
      </c>
      <c r="N136" s="111">
        <f t="shared" si="14"/>
        <v>1172384399</v>
      </c>
      <c r="O136" s="111">
        <f t="shared" si="13"/>
        <v>-3005263</v>
      </c>
      <c r="P136" s="111">
        <f>N136-N135</f>
        <v>-9615601</v>
      </c>
      <c r="Q136" s="224">
        <v>0</v>
      </c>
    </row>
    <row r="137" spans="9:30">
      <c r="I137" s="210"/>
      <c r="J137" s="111">
        <f t="shared" si="5"/>
        <v>-6184317</v>
      </c>
      <c r="K137" s="210" t="s">
        <v>4952</v>
      </c>
      <c r="L137" s="82">
        <v>732205345</v>
      </c>
      <c r="M137" s="82">
        <v>433540549</v>
      </c>
      <c r="N137" s="111">
        <f t="shared" si="14"/>
        <v>1165745894</v>
      </c>
      <c r="O137" s="111">
        <f t="shared" si="13"/>
        <v>-454188</v>
      </c>
      <c r="P137" s="111">
        <f>N137-N136</f>
        <v>-6638505</v>
      </c>
      <c r="Q137" s="224">
        <v>0</v>
      </c>
    </row>
    <row r="138" spans="9:30">
      <c r="I138" s="210"/>
      <c r="J138" s="111">
        <f t="shared" si="5"/>
        <v>4122409</v>
      </c>
      <c r="K138" s="210" t="s">
        <v>4954</v>
      </c>
      <c r="L138" s="82">
        <v>736327754</v>
      </c>
      <c r="M138" s="82">
        <v>439057094</v>
      </c>
      <c r="N138" s="111">
        <f t="shared" si="14"/>
        <v>1175384848</v>
      </c>
      <c r="O138" s="111">
        <f t="shared" si="13"/>
        <v>5516545</v>
      </c>
      <c r="P138" s="111">
        <f>N138-N137</f>
        <v>9638954</v>
      </c>
      <c r="Q138" s="224">
        <v>0</v>
      </c>
      <c r="X138" s="94"/>
      <c r="Y138" s="94"/>
      <c r="Z138" s="94" t="s">
        <v>4585</v>
      </c>
      <c r="AA138" s="94"/>
    </row>
    <row r="139" spans="9:30">
      <c r="I139" s="187" t="s">
        <v>4957</v>
      </c>
      <c r="J139" s="186">
        <f>L139-L138-206000</f>
        <v>15013287</v>
      </c>
      <c r="K139" s="187" t="s">
        <v>4956</v>
      </c>
      <c r="L139" s="232">
        <v>751547041</v>
      </c>
      <c r="M139" s="232">
        <v>448656068</v>
      </c>
      <c r="N139" s="215">
        <f t="shared" si="14"/>
        <v>1200203109</v>
      </c>
      <c r="O139" s="186">
        <f>M139-M138-206000</f>
        <v>9392974</v>
      </c>
      <c r="P139" s="186">
        <f>N139-N138-412000</f>
        <v>24406261</v>
      </c>
      <c r="Q139" s="224">
        <v>412000</v>
      </c>
      <c r="X139" s="94"/>
      <c r="Y139" s="94"/>
      <c r="Z139" s="94" t="s">
        <v>4586</v>
      </c>
      <c r="AA139" s="204">
        <v>35441</v>
      </c>
      <c r="AD139" t="s">
        <v>25</v>
      </c>
    </row>
    <row r="140" spans="9:30" ht="90">
      <c r="I140" s="241" t="s">
        <v>4962</v>
      </c>
      <c r="J140" s="242">
        <f>L140-L139-50000</f>
        <v>22852739</v>
      </c>
      <c r="K140" s="241" t="s">
        <v>4961</v>
      </c>
      <c r="L140" s="243">
        <v>774449780</v>
      </c>
      <c r="M140" s="243">
        <v>460796198</v>
      </c>
      <c r="N140" s="215">
        <f t="shared" si="14"/>
        <v>1235245978</v>
      </c>
      <c r="O140" s="242">
        <f>M140-M139-50000</f>
        <v>12090130</v>
      </c>
      <c r="P140" s="242">
        <f>N140-N139-100000</f>
        <v>34942869</v>
      </c>
      <c r="Q140" s="224">
        <v>100000</v>
      </c>
      <c r="X140" s="22" t="s">
        <v>4589</v>
      </c>
      <c r="Y140" s="22" t="s">
        <v>4588</v>
      </c>
      <c r="Z140" s="22" t="s">
        <v>4587</v>
      </c>
      <c r="AA140" s="22" t="s">
        <v>4590</v>
      </c>
    </row>
    <row r="141" spans="9:30">
      <c r="I141" s="210"/>
      <c r="J141" s="111">
        <f t="shared" si="5"/>
        <v>13614989</v>
      </c>
      <c r="K141" s="210" t="s">
        <v>4964</v>
      </c>
      <c r="L141" s="82">
        <v>788064769</v>
      </c>
      <c r="M141" s="82">
        <v>470434493</v>
      </c>
      <c r="N141" s="215">
        <f t="shared" si="14"/>
        <v>1258499262</v>
      </c>
      <c r="O141" s="111">
        <f t="shared" si="13"/>
        <v>9638295</v>
      </c>
      <c r="P141" s="111">
        <f>N141-N140</f>
        <v>23253284</v>
      </c>
      <c r="Q141" s="224">
        <v>0</v>
      </c>
    </row>
    <row r="142" spans="9:30">
      <c r="I142" s="187" t="s">
        <v>4967</v>
      </c>
      <c r="J142" s="186">
        <f>L142-L141-105000</f>
        <v>7274368</v>
      </c>
      <c r="K142" s="187" t="s">
        <v>4965</v>
      </c>
      <c r="L142" s="232">
        <v>795444137</v>
      </c>
      <c r="M142" s="232">
        <v>496046411</v>
      </c>
      <c r="N142" s="215">
        <f t="shared" si="14"/>
        <v>1291490548</v>
      </c>
      <c r="O142" s="186">
        <f>M142-M141-20000000</f>
        <v>5611918</v>
      </c>
      <c r="P142" s="186">
        <f>N142-N141-20105000</f>
        <v>12886286</v>
      </c>
      <c r="Q142" s="224">
        <v>20105000</v>
      </c>
    </row>
    <row r="143" spans="9:30">
      <c r="I143" s="255" t="s">
        <v>4973</v>
      </c>
      <c r="J143" s="256">
        <f>L143-L142+21285588</f>
        <v>17942685</v>
      </c>
      <c r="K143" s="255" t="s">
        <v>4969</v>
      </c>
      <c r="L143" s="257">
        <v>792101234</v>
      </c>
      <c r="M143" s="257">
        <v>504721695</v>
      </c>
      <c r="N143" s="215">
        <f t="shared" si="14"/>
        <v>1296822929</v>
      </c>
      <c r="O143" s="256">
        <f t="shared" si="13"/>
        <v>8675284</v>
      </c>
      <c r="P143" s="256">
        <f>N143-N142+21285588</f>
        <v>26617969</v>
      </c>
      <c r="Q143" s="224">
        <v>-21285588</v>
      </c>
    </row>
    <row r="144" spans="9:30">
      <c r="I144" s="255" t="s">
        <v>4974</v>
      </c>
      <c r="J144" s="256">
        <f>L144-L143+5949277</f>
        <v>6616903</v>
      </c>
      <c r="K144" s="255" t="s">
        <v>4970</v>
      </c>
      <c r="L144" s="257">
        <v>792768860</v>
      </c>
      <c r="M144" s="257">
        <v>507955566</v>
      </c>
      <c r="N144" s="215">
        <f t="shared" si="14"/>
        <v>1300724426</v>
      </c>
      <c r="O144" s="256">
        <f t="shared" si="13"/>
        <v>3233871</v>
      </c>
      <c r="P144" s="256">
        <f>N144-N143+5949277</f>
        <v>9850774</v>
      </c>
      <c r="Q144" s="224">
        <v>-5949277</v>
      </c>
    </row>
    <row r="145" spans="9:23" ht="30">
      <c r="I145" s="238" t="s">
        <v>4975</v>
      </c>
      <c r="J145" s="239">
        <f>L145-L144+16266000</f>
        <v>-3424278</v>
      </c>
      <c r="K145" s="213" t="s">
        <v>978</v>
      </c>
      <c r="L145" s="240">
        <v>773078582</v>
      </c>
      <c r="M145" s="240">
        <v>483243300</v>
      </c>
      <c r="N145" s="239">
        <f t="shared" si="14"/>
        <v>1256321882</v>
      </c>
      <c r="O145" s="239">
        <f>M145-M144+24159150</f>
        <v>-553116</v>
      </c>
      <c r="P145" s="239">
        <f>N145-N144+40425150</f>
        <v>-3977394</v>
      </c>
      <c r="Q145" s="224">
        <v>-40425150</v>
      </c>
    </row>
    <row r="146" spans="9:23">
      <c r="I146" s="258" t="s">
        <v>4977</v>
      </c>
      <c r="J146" s="215">
        <f>L146-L145+15482124</f>
        <v>-6662026</v>
      </c>
      <c r="K146" s="214" t="s">
        <v>4976</v>
      </c>
      <c r="L146" s="259">
        <v>750934432</v>
      </c>
      <c r="M146" s="259">
        <v>477277384</v>
      </c>
      <c r="N146" s="215">
        <f t="shared" ref="N146:N203" si="15">L146+M146</f>
        <v>1228211816</v>
      </c>
      <c r="O146" s="215">
        <f>M146-M145-50000</f>
        <v>-6015916</v>
      </c>
      <c r="P146" s="215">
        <f>N146-N145-50000+15482124</f>
        <v>-12677942</v>
      </c>
      <c r="Q146" s="224">
        <f>50000-15482124</f>
        <v>-15432124</v>
      </c>
    </row>
    <row r="147" spans="9:23">
      <c r="I147" s="210"/>
      <c r="J147" s="111">
        <f t="shared" ref="J147:J199" si="16">L147-L146</f>
        <v>-5020195</v>
      </c>
      <c r="K147" s="210" t="s">
        <v>4978</v>
      </c>
      <c r="L147" s="82">
        <v>745914237</v>
      </c>
      <c r="M147" s="82">
        <v>473862216</v>
      </c>
      <c r="N147" s="111">
        <f t="shared" si="15"/>
        <v>1219776453</v>
      </c>
      <c r="O147" s="111">
        <f t="shared" ref="O147:O158" si="17">M147-M146</f>
        <v>-3415168</v>
      </c>
      <c r="P147" s="111">
        <f t="shared" ref="P147:P158" si="18">N147-N146</f>
        <v>-8435363</v>
      </c>
      <c r="Q147" s="224">
        <v>0</v>
      </c>
    </row>
    <row r="148" spans="9:23">
      <c r="I148" s="210"/>
      <c r="J148" s="111">
        <f t="shared" si="16"/>
        <v>-2990159</v>
      </c>
      <c r="K148" s="210" t="s">
        <v>4979</v>
      </c>
      <c r="L148" s="82">
        <v>742924078</v>
      </c>
      <c r="M148" s="82">
        <v>472064753</v>
      </c>
      <c r="N148" s="111">
        <f t="shared" si="15"/>
        <v>1214988831</v>
      </c>
      <c r="O148" s="111">
        <f t="shared" si="17"/>
        <v>-1797463</v>
      </c>
      <c r="P148" s="111">
        <f t="shared" si="18"/>
        <v>-4787622</v>
      </c>
      <c r="Q148" s="224">
        <v>0</v>
      </c>
      <c r="T148" t="s">
        <v>25</v>
      </c>
    </row>
    <row r="149" spans="9:23">
      <c r="I149" s="210"/>
      <c r="J149" s="111">
        <f t="shared" si="16"/>
        <v>-2104826</v>
      </c>
      <c r="K149" s="210" t="s">
        <v>4980</v>
      </c>
      <c r="L149" s="82">
        <v>740819252</v>
      </c>
      <c r="M149" s="82">
        <v>470305993</v>
      </c>
      <c r="N149" s="111">
        <f t="shared" si="15"/>
        <v>1211125245</v>
      </c>
      <c r="O149" s="111">
        <f t="shared" si="17"/>
        <v>-1758760</v>
      </c>
      <c r="P149" s="111">
        <f t="shared" si="18"/>
        <v>-3863586</v>
      </c>
      <c r="Q149" s="224">
        <v>0</v>
      </c>
      <c r="V149" t="s">
        <v>25</v>
      </c>
    </row>
    <row r="150" spans="9:23">
      <c r="I150" s="187" t="s">
        <v>4983</v>
      </c>
      <c r="J150" s="186">
        <f t="shared" si="16"/>
        <v>19640187</v>
      </c>
      <c r="K150" s="187" t="s">
        <v>4982</v>
      </c>
      <c r="L150" s="232">
        <v>760459439</v>
      </c>
      <c r="M150" s="232">
        <v>480341526</v>
      </c>
      <c r="N150" s="186">
        <f t="shared" si="15"/>
        <v>1240800965</v>
      </c>
      <c r="O150" s="186">
        <f>M150-M149-2480000</f>
        <v>7555533</v>
      </c>
      <c r="P150" s="186">
        <f>N150-N149-2480000</f>
        <v>27195720</v>
      </c>
      <c r="Q150" s="224">
        <v>2480000</v>
      </c>
    </row>
    <row r="151" spans="9:23">
      <c r="I151" s="210" t="s">
        <v>4986</v>
      </c>
      <c r="J151" s="111">
        <f>L151-L150-10000000</f>
        <v>7047541</v>
      </c>
      <c r="K151" s="210" t="s">
        <v>4985</v>
      </c>
      <c r="L151" s="82">
        <v>777506980</v>
      </c>
      <c r="M151" s="82">
        <v>487011941</v>
      </c>
      <c r="N151" s="215">
        <f t="shared" si="15"/>
        <v>1264518921</v>
      </c>
      <c r="O151" s="111">
        <f t="shared" si="17"/>
        <v>6670415</v>
      </c>
      <c r="P151" s="111">
        <f>N151-N150-10000000</f>
        <v>13717956</v>
      </c>
      <c r="Q151" s="224">
        <v>10000000</v>
      </c>
    </row>
    <row r="152" spans="9:23">
      <c r="I152" s="210"/>
      <c r="J152" s="111">
        <f t="shared" si="16"/>
        <v>12326187</v>
      </c>
      <c r="K152" s="210" t="s">
        <v>4987</v>
      </c>
      <c r="L152" s="82">
        <v>789833167</v>
      </c>
      <c r="M152" s="82">
        <v>496662271</v>
      </c>
      <c r="N152" s="215">
        <f t="shared" si="15"/>
        <v>1286495438</v>
      </c>
      <c r="O152" s="111">
        <f t="shared" si="17"/>
        <v>9650330</v>
      </c>
      <c r="P152" s="111">
        <f t="shared" si="18"/>
        <v>21976517</v>
      </c>
      <c r="Q152" s="224">
        <v>0</v>
      </c>
    </row>
    <row r="153" spans="9:23">
      <c r="I153" s="210"/>
      <c r="J153" s="111">
        <f t="shared" si="16"/>
        <v>-15331439</v>
      </c>
      <c r="K153" s="210" t="s">
        <v>4990</v>
      </c>
      <c r="L153" s="82">
        <v>774501728</v>
      </c>
      <c r="M153" s="82">
        <v>489029442</v>
      </c>
      <c r="N153" s="111">
        <f t="shared" si="15"/>
        <v>1263531170</v>
      </c>
      <c r="O153" s="111">
        <f t="shared" si="17"/>
        <v>-7632829</v>
      </c>
      <c r="P153" s="111">
        <f t="shared" si="18"/>
        <v>-22964268</v>
      </c>
      <c r="Q153" s="224">
        <v>0</v>
      </c>
    </row>
    <row r="154" spans="9:23">
      <c r="I154" s="210"/>
      <c r="J154" s="111">
        <f t="shared" si="16"/>
        <v>-32356446</v>
      </c>
      <c r="K154" s="210" t="s">
        <v>4991</v>
      </c>
      <c r="L154" s="82">
        <v>742145282</v>
      </c>
      <c r="M154" s="82">
        <v>468861007</v>
      </c>
      <c r="N154" s="111">
        <f t="shared" si="15"/>
        <v>1211006289</v>
      </c>
      <c r="O154" s="111">
        <f t="shared" si="17"/>
        <v>-20168435</v>
      </c>
      <c r="P154" s="111">
        <f t="shared" si="18"/>
        <v>-52524881</v>
      </c>
      <c r="Q154" s="224">
        <v>0</v>
      </c>
      <c r="S154" s="112"/>
    </row>
    <row r="155" spans="9:23">
      <c r="I155" s="210"/>
      <c r="J155" s="111">
        <f t="shared" si="16"/>
        <v>27087716</v>
      </c>
      <c r="K155" s="210" t="s">
        <v>4988</v>
      </c>
      <c r="L155" s="82">
        <v>769232998</v>
      </c>
      <c r="M155" s="82">
        <v>486200144</v>
      </c>
      <c r="N155" s="111">
        <f t="shared" si="15"/>
        <v>1255433142</v>
      </c>
      <c r="O155" s="111">
        <f t="shared" si="17"/>
        <v>17339137</v>
      </c>
      <c r="P155" s="111">
        <f t="shared" si="18"/>
        <v>44426853</v>
      </c>
      <c r="Q155" s="224">
        <v>0</v>
      </c>
    </row>
    <row r="156" spans="9:23">
      <c r="I156" s="210"/>
      <c r="J156" s="111">
        <f t="shared" si="16"/>
        <v>-11588296</v>
      </c>
      <c r="K156" s="210" t="s">
        <v>4992</v>
      </c>
      <c r="L156" s="82">
        <v>757644702</v>
      </c>
      <c r="M156" s="82">
        <v>479518419</v>
      </c>
      <c r="N156" s="111">
        <f t="shared" si="15"/>
        <v>1237163121</v>
      </c>
      <c r="O156" s="111">
        <f t="shared" si="17"/>
        <v>-6681725</v>
      </c>
      <c r="P156" s="111">
        <f t="shared" si="18"/>
        <v>-18270021</v>
      </c>
      <c r="Q156" s="224">
        <v>0</v>
      </c>
    </row>
    <row r="157" spans="9:23">
      <c r="I157" s="210"/>
      <c r="J157" s="111">
        <f t="shared" si="16"/>
        <v>44081635</v>
      </c>
      <c r="K157" s="210" t="s">
        <v>4213</v>
      </c>
      <c r="L157" s="82">
        <v>801726337</v>
      </c>
      <c r="M157" s="82">
        <v>506850552</v>
      </c>
      <c r="N157" s="215">
        <f t="shared" si="15"/>
        <v>1308576889</v>
      </c>
      <c r="O157" s="111">
        <f t="shared" si="17"/>
        <v>27332133</v>
      </c>
      <c r="P157" s="111">
        <f t="shared" si="18"/>
        <v>71413768</v>
      </c>
      <c r="Q157" s="224">
        <v>0</v>
      </c>
      <c r="W157" t="s">
        <v>25</v>
      </c>
    </row>
    <row r="158" spans="9:23">
      <c r="I158" s="210"/>
      <c r="J158" s="111">
        <f t="shared" si="16"/>
        <v>6630946</v>
      </c>
      <c r="K158" s="210" t="s">
        <v>4993</v>
      </c>
      <c r="L158" s="82">
        <v>808357283</v>
      </c>
      <c r="M158" s="82">
        <v>511928213</v>
      </c>
      <c r="N158" s="215">
        <f t="shared" si="15"/>
        <v>1320285496</v>
      </c>
      <c r="O158" s="111">
        <f t="shared" si="17"/>
        <v>5077661</v>
      </c>
      <c r="P158" s="111">
        <f t="shared" si="18"/>
        <v>11708607</v>
      </c>
      <c r="Q158" s="224">
        <v>0</v>
      </c>
    </row>
    <row r="159" spans="9:23">
      <c r="I159" s="210"/>
      <c r="J159" s="111">
        <f t="shared" si="16"/>
        <v>-3113999</v>
      </c>
      <c r="K159" s="210" t="s">
        <v>4989</v>
      </c>
      <c r="L159" s="82">
        <v>805243284</v>
      </c>
      <c r="M159" s="82">
        <v>510366011</v>
      </c>
      <c r="N159" s="111">
        <f t="shared" si="15"/>
        <v>1315609295</v>
      </c>
      <c r="O159" s="111">
        <f t="shared" ref="O159:O203" si="19">M159-M158</f>
        <v>-1562202</v>
      </c>
      <c r="P159" s="111">
        <f t="shared" ref="P159:P199" si="20">N159-N158</f>
        <v>-4676201</v>
      </c>
      <c r="Q159" s="224">
        <v>0</v>
      </c>
    </row>
    <row r="160" spans="9:23">
      <c r="I160" s="261" t="s">
        <v>5004</v>
      </c>
      <c r="J160" s="186">
        <f>L160-L159-1000000</f>
        <v>-11757327</v>
      </c>
      <c r="K160" s="187" t="s">
        <v>5003</v>
      </c>
      <c r="L160" s="232">
        <v>794485957</v>
      </c>
      <c r="M160" s="232">
        <v>500307505</v>
      </c>
      <c r="N160" s="186">
        <f t="shared" si="15"/>
        <v>1294793462</v>
      </c>
      <c r="O160" s="186">
        <f>M160-M159-400000</f>
        <v>-10458506</v>
      </c>
      <c r="P160" s="186">
        <f>N160-N159-1400000</f>
        <v>-22215833</v>
      </c>
      <c r="Q160" s="224">
        <v>1400000</v>
      </c>
    </row>
    <row r="161" spans="9:18">
      <c r="I161" s="210"/>
      <c r="J161" s="111">
        <f t="shared" si="16"/>
        <v>15301801</v>
      </c>
      <c r="K161" s="210" t="s">
        <v>5005</v>
      </c>
      <c r="L161" s="82">
        <v>809787758</v>
      </c>
      <c r="M161" s="82">
        <v>508573621</v>
      </c>
      <c r="N161" s="111">
        <f t="shared" si="15"/>
        <v>1318361379</v>
      </c>
      <c r="O161" s="111">
        <f t="shared" si="19"/>
        <v>8266116</v>
      </c>
      <c r="P161" s="111">
        <f t="shared" si="20"/>
        <v>23567917</v>
      </c>
    </row>
    <row r="162" spans="9:18">
      <c r="I162" s="241" t="s">
        <v>5007</v>
      </c>
      <c r="J162" s="242">
        <f>L162-L161-40000</f>
        <v>22492792</v>
      </c>
      <c r="K162" s="241" t="s">
        <v>5006</v>
      </c>
      <c r="L162" s="243">
        <v>832320550</v>
      </c>
      <c r="M162" s="243">
        <v>520218492</v>
      </c>
      <c r="N162" s="215">
        <f t="shared" si="15"/>
        <v>1352539042</v>
      </c>
      <c r="O162" s="242">
        <f>M162-M161-40000</f>
        <v>11604871</v>
      </c>
      <c r="P162" s="242">
        <f>N162-N161-80000</f>
        <v>34097663</v>
      </c>
      <c r="Q162" s="224">
        <v>80000</v>
      </c>
    </row>
    <row r="163" spans="9:18">
      <c r="I163" s="210"/>
      <c r="J163" s="111">
        <f t="shared" si="16"/>
        <v>17160356</v>
      </c>
      <c r="K163" s="210" t="s">
        <v>5009</v>
      </c>
      <c r="L163" s="82">
        <v>849480906</v>
      </c>
      <c r="M163" s="82">
        <v>529879172</v>
      </c>
      <c r="N163" s="215">
        <f t="shared" si="15"/>
        <v>1379360078</v>
      </c>
      <c r="O163" s="111">
        <f t="shared" si="19"/>
        <v>9660680</v>
      </c>
      <c r="P163" s="111">
        <f t="shared" si="20"/>
        <v>26821036</v>
      </c>
      <c r="Q163" s="224">
        <v>0</v>
      </c>
    </row>
    <row r="164" spans="9:18">
      <c r="I164" s="210"/>
      <c r="J164" s="111">
        <f t="shared" si="16"/>
        <v>-9629608</v>
      </c>
      <c r="K164" s="210" t="s">
        <v>5013</v>
      </c>
      <c r="L164" s="82">
        <v>839851298</v>
      </c>
      <c r="M164" s="82">
        <v>524867809</v>
      </c>
      <c r="N164" s="111">
        <f t="shared" si="15"/>
        <v>1364719107</v>
      </c>
      <c r="O164" s="111">
        <f t="shared" si="19"/>
        <v>-5011363</v>
      </c>
      <c r="P164" s="111">
        <f t="shared" si="20"/>
        <v>-14640971</v>
      </c>
      <c r="Q164" s="224">
        <v>0</v>
      </c>
    </row>
    <row r="165" spans="9:18">
      <c r="I165" s="241" t="s">
        <v>5015</v>
      </c>
      <c r="J165" s="242">
        <f>L165-L164-120000</f>
        <v>-2216696</v>
      </c>
      <c r="K165" s="241" t="s">
        <v>5014</v>
      </c>
      <c r="L165" s="243">
        <v>837754602</v>
      </c>
      <c r="M165" s="243">
        <v>524141818</v>
      </c>
      <c r="N165" s="242">
        <f t="shared" si="15"/>
        <v>1361896420</v>
      </c>
      <c r="O165" s="242">
        <f>M165-M164-200000</f>
        <v>-925991</v>
      </c>
      <c r="P165" s="242">
        <f>N165-N164-320000</f>
        <v>-3142687</v>
      </c>
      <c r="Q165" s="224">
        <v>320000</v>
      </c>
    </row>
    <row r="166" spans="9:18">
      <c r="I166" s="241" t="s">
        <v>4937</v>
      </c>
      <c r="J166" s="242">
        <f t="shared" si="16"/>
        <v>-5830761</v>
      </c>
      <c r="K166" s="241" t="s">
        <v>5018</v>
      </c>
      <c r="L166" s="243">
        <v>831923841</v>
      </c>
      <c r="M166" s="243">
        <v>520741895</v>
      </c>
      <c r="N166" s="242">
        <f t="shared" si="15"/>
        <v>1352665736</v>
      </c>
      <c r="O166" s="242">
        <f>M166-M165-500000</f>
        <v>-3899923</v>
      </c>
      <c r="P166" s="242">
        <f>N166-N165-500000</f>
        <v>-9730684</v>
      </c>
      <c r="Q166" s="224">
        <v>500000</v>
      </c>
    </row>
    <row r="167" spans="9:18">
      <c r="I167" s="241" t="s">
        <v>4937</v>
      </c>
      <c r="J167" s="242">
        <f t="shared" si="16"/>
        <v>-22467551</v>
      </c>
      <c r="K167" s="241" t="s">
        <v>5020</v>
      </c>
      <c r="L167" s="243">
        <v>809456290</v>
      </c>
      <c r="M167" s="243">
        <v>509313372</v>
      </c>
      <c r="N167" s="242">
        <f t="shared" si="15"/>
        <v>1318769662</v>
      </c>
      <c r="O167" s="242">
        <f>M167-M166-500000</f>
        <v>-11928523</v>
      </c>
      <c r="P167" s="242">
        <f>N167-N166-500000</f>
        <v>-34396074</v>
      </c>
      <c r="Q167" s="224">
        <v>500000</v>
      </c>
    </row>
    <row r="168" spans="9:18">
      <c r="I168" s="241" t="s">
        <v>5021</v>
      </c>
      <c r="J168" s="242">
        <f>L168-L167-249000</f>
        <v>-15588738</v>
      </c>
      <c r="K168" s="241" t="s">
        <v>5011</v>
      </c>
      <c r="L168" s="243">
        <v>794116552</v>
      </c>
      <c r="M168" s="243">
        <v>501172095</v>
      </c>
      <c r="N168" s="242">
        <f t="shared" si="15"/>
        <v>1295288647</v>
      </c>
      <c r="O168" s="242">
        <f>M168-M167-250000</f>
        <v>-8391277</v>
      </c>
      <c r="P168" s="242">
        <f>N168-N167-499000</f>
        <v>-23980015</v>
      </c>
      <c r="Q168" s="224">
        <v>499000</v>
      </c>
    </row>
    <row r="169" spans="9:18">
      <c r="I169" s="210"/>
      <c r="J169" s="111">
        <f t="shared" si="16"/>
        <v>11269240</v>
      </c>
      <c r="K169" s="210" t="s">
        <v>5022</v>
      </c>
      <c r="L169" s="82">
        <v>805385792</v>
      </c>
      <c r="M169" s="82">
        <v>507195022</v>
      </c>
      <c r="N169" s="111">
        <f t="shared" si="15"/>
        <v>1312580814</v>
      </c>
      <c r="O169" s="111">
        <f t="shared" si="19"/>
        <v>6022927</v>
      </c>
      <c r="P169" s="111">
        <f t="shared" si="20"/>
        <v>17292167</v>
      </c>
      <c r="Q169" s="224">
        <v>0</v>
      </c>
    </row>
    <row r="170" spans="9:18">
      <c r="I170" s="210"/>
      <c r="J170" s="111">
        <f t="shared" si="16"/>
        <v>-18119284</v>
      </c>
      <c r="K170" s="210" t="s">
        <v>5025</v>
      </c>
      <c r="L170" s="82">
        <v>787266508</v>
      </c>
      <c r="M170" s="82">
        <v>498492039</v>
      </c>
      <c r="N170" s="111">
        <f t="shared" si="15"/>
        <v>1285758547</v>
      </c>
      <c r="O170" s="111">
        <f t="shared" si="19"/>
        <v>-8702983</v>
      </c>
      <c r="P170" s="111">
        <f t="shared" si="20"/>
        <v>-26822267</v>
      </c>
      <c r="Q170" s="224">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4">
        <v>0</v>
      </c>
    </row>
    <row r="172" spans="9:18">
      <c r="I172" s="210"/>
      <c r="J172" s="111">
        <f t="shared" si="16"/>
        <v>-130356</v>
      </c>
      <c r="K172" s="210" t="s">
        <v>5033</v>
      </c>
      <c r="L172" s="82">
        <v>806287909</v>
      </c>
      <c r="M172" s="245">
        <v>508728805</v>
      </c>
      <c r="N172" s="111">
        <f t="shared" si="15"/>
        <v>1315016714</v>
      </c>
      <c r="O172" s="111">
        <f t="shared" si="19"/>
        <v>477440</v>
      </c>
      <c r="P172" s="111">
        <f t="shared" si="20"/>
        <v>347084</v>
      </c>
      <c r="Q172" s="224">
        <v>0</v>
      </c>
    </row>
    <row r="173" spans="9:18">
      <c r="I173" s="210"/>
      <c r="J173" s="111">
        <f t="shared" si="16"/>
        <v>-4205755</v>
      </c>
      <c r="K173" s="210" t="s">
        <v>5034</v>
      </c>
      <c r="L173" s="82">
        <v>802082154</v>
      </c>
      <c r="M173" s="82">
        <v>508611485</v>
      </c>
      <c r="N173" s="111">
        <f t="shared" si="15"/>
        <v>1310693639</v>
      </c>
      <c r="O173" s="111">
        <f t="shared" si="19"/>
        <v>-117320</v>
      </c>
      <c r="P173" s="111">
        <f t="shared" si="20"/>
        <v>-4323075</v>
      </c>
      <c r="Q173" s="224">
        <v>0</v>
      </c>
      <c r="R173" t="s">
        <v>25</v>
      </c>
    </row>
    <row r="174" spans="9:18">
      <c r="I174" s="241" t="s">
        <v>5037</v>
      </c>
      <c r="J174" s="242">
        <f>L174-L173-65000</f>
        <v>5888390</v>
      </c>
      <c r="K174" s="241" t="s">
        <v>5036</v>
      </c>
      <c r="L174" s="243">
        <v>808035544</v>
      </c>
      <c r="M174" s="243">
        <v>512177913</v>
      </c>
      <c r="N174" s="242">
        <f t="shared" si="15"/>
        <v>1320213457</v>
      </c>
      <c r="O174" s="242">
        <f t="shared" si="19"/>
        <v>3566428</v>
      </c>
      <c r="P174" s="242">
        <f>N174-N173-65000</f>
        <v>9454818</v>
      </c>
      <c r="Q174" s="224">
        <v>65000</v>
      </c>
    </row>
    <row r="175" spans="9:18">
      <c r="I175" s="210"/>
      <c r="J175" s="111">
        <f t="shared" si="16"/>
        <v>347325</v>
      </c>
      <c r="K175" s="210" t="s">
        <v>4214</v>
      </c>
      <c r="L175" s="82">
        <v>808382869</v>
      </c>
      <c r="M175" s="82">
        <v>512740969</v>
      </c>
      <c r="N175" s="111">
        <f t="shared" si="15"/>
        <v>1321123838</v>
      </c>
      <c r="O175" s="111">
        <f t="shared" si="19"/>
        <v>563056</v>
      </c>
      <c r="P175" s="111">
        <f t="shared" si="20"/>
        <v>910381</v>
      </c>
      <c r="Q175" s="224">
        <v>0</v>
      </c>
    </row>
    <row r="176" spans="9:18">
      <c r="I176" s="213" t="s">
        <v>5042</v>
      </c>
      <c r="J176" s="239">
        <f>L176-L175+305807</f>
        <v>8668560</v>
      </c>
      <c r="K176" s="213" t="s">
        <v>5040</v>
      </c>
      <c r="L176" s="240">
        <v>816745622</v>
      </c>
      <c r="M176" s="240">
        <v>516127148</v>
      </c>
      <c r="N176" s="239">
        <f t="shared" si="15"/>
        <v>1332872770</v>
      </c>
      <c r="O176" s="239">
        <f>M176-M175+305807</f>
        <v>3691986</v>
      </c>
      <c r="P176" s="239">
        <f>N176-N175+611614</f>
        <v>12360546</v>
      </c>
      <c r="Q176" s="224">
        <v>-611614</v>
      </c>
    </row>
    <row r="177" spans="9:17">
      <c r="I177" s="150" t="s">
        <v>5043</v>
      </c>
      <c r="J177" s="239">
        <f>L177-L176+63348</f>
        <v>4837676</v>
      </c>
      <c r="K177" s="213" t="s">
        <v>5041</v>
      </c>
      <c r="L177" s="240">
        <v>821519950</v>
      </c>
      <c r="M177" s="240">
        <v>505943649</v>
      </c>
      <c r="N177" s="239">
        <f t="shared" si="15"/>
        <v>1327463599</v>
      </c>
      <c r="O177" s="239">
        <f>M177-M176+13076601</f>
        <v>2893102</v>
      </c>
      <c r="P177" s="239">
        <f>N177-N176+13139949</f>
        <v>7730778</v>
      </c>
      <c r="Q177" s="224">
        <v>-13139949</v>
      </c>
    </row>
    <row r="178" spans="9:17">
      <c r="I178" s="262" t="s">
        <v>5046</v>
      </c>
      <c r="J178" s="263">
        <f>L178-L177-50000</f>
        <v>30757186</v>
      </c>
      <c r="K178" s="262" t="s">
        <v>5045</v>
      </c>
      <c r="L178" s="264">
        <v>852327136</v>
      </c>
      <c r="M178" s="264">
        <v>521297098</v>
      </c>
      <c r="N178" s="215">
        <f t="shared" si="15"/>
        <v>1373624234</v>
      </c>
      <c r="O178" s="263">
        <f>M178-M177+1330520</f>
        <v>16683969</v>
      </c>
      <c r="P178" s="263">
        <f t="shared" si="20"/>
        <v>46160635</v>
      </c>
      <c r="Q178" s="224">
        <v>1280520</v>
      </c>
    </row>
    <row r="179" spans="9:17">
      <c r="I179" s="210"/>
      <c r="J179" s="111">
        <f t="shared" si="16"/>
        <v>3566567</v>
      </c>
      <c r="K179" s="210" t="s">
        <v>5012</v>
      </c>
      <c r="L179" s="82">
        <v>855893703</v>
      </c>
      <c r="M179" s="82">
        <v>523555571</v>
      </c>
      <c r="N179" s="215">
        <f t="shared" si="15"/>
        <v>1379449274</v>
      </c>
      <c r="O179" s="111">
        <f t="shared" si="19"/>
        <v>2258473</v>
      </c>
      <c r="P179" s="111">
        <f t="shared" si="20"/>
        <v>5825040</v>
      </c>
      <c r="Q179" s="224">
        <v>0</v>
      </c>
    </row>
    <row r="180" spans="9:17">
      <c r="I180" s="210"/>
      <c r="J180" s="111">
        <f t="shared" si="16"/>
        <v>38722880</v>
      </c>
      <c r="K180" s="210" t="s">
        <v>5051</v>
      </c>
      <c r="L180" s="82">
        <v>894616583</v>
      </c>
      <c r="M180" s="82">
        <v>542439358</v>
      </c>
      <c r="N180" s="215">
        <f t="shared" si="15"/>
        <v>1437055941</v>
      </c>
      <c r="O180" s="111">
        <f t="shared" si="19"/>
        <v>18883787</v>
      </c>
      <c r="P180" s="111">
        <f t="shared" si="20"/>
        <v>57606667</v>
      </c>
      <c r="Q180" s="224">
        <v>0</v>
      </c>
    </row>
    <row r="181" spans="9:17">
      <c r="I181" s="210"/>
      <c r="J181" s="111">
        <f t="shared" si="16"/>
        <v>16136832</v>
      </c>
      <c r="K181" s="210" t="s">
        <v>5054</v>
      </c>
      <c r="L181" s="82">
        <v>910753415</v>
      </c>
      <c r="M181" s="82">
        <v>556456529</v>
      </c>
      <c r="N181" s="215">
        <f>L181+M181</f>
        <v>1467209944</v>
      </c>
      <c r="O181" s="111">
        <f t="shared" si="19"/>
        <v>14017171</v>
      </c>
      <c r="P181" s="111">
        <f t="shared" si="20"/>
        <v>30154003</v>
      </c>
      <c r="Q181" s="224">
        <v>0</v>
      </c>
    </row>
    <row r="182" spans="9:17">
      <c r="I182" s="210"/>
      <c r="J182" s="111">
        <f t="shared" si="16"/>
        <v>12506133</v>
      </c>
      <c r="K182" s="210" t="s">
        <v>5055</v>
      </c>
      <c r="L182" s="82">
        <v>923259548</v>
      </c>
      <c r="M182" s="82">
        <v>567570020</v>
      </c>
      <c r="N182" s="215">
        <f t="shared" si="15"/>
        <v>1490829568</v>
      </c>
      <c r="O182" s="111">
        <f t="shared" si="19"/>
        <v>11113491</v>
      </c>
      <c r="P182" s="111">
        <f t="shared" si="20"/>
        <v>23619624</v>
      </c>
      <c r="Q182" s="224">
        <v>0</v>
      </c>
    </row>
    <row r="183" spans="9:17">
      <c r="I183" s="210"/>
      <c r="J183" s="111">
        <f t="shared" si="16"/>
        <v>-6894672</v>
      </c>
      <c r="K183" s="210" t="s">
        <v>5060</v>
      </c>
      <c r="L183" s="82">
        <v>916364876</v>
      </c>
      <c r="M183" s="82">
        <v>564106459</v>
      </c>
      <c r="N183" s="111">
        <f t="shared" si="15"/>
        <v>1480471335</v>
      </c>
      <c r="O183" s="111">
        <f t="shared" si="19"/>
        <v>-3463561</v>
      </c>
      <c r="P183" s="111">
        <f t="shared" si="20"/>
        <v>-10358233</v>
      </c>
      <c r="Q183" s="224">
        <v>0</v>
      </c>
    </row>
    <row r="184" spans="9:17">
      <c r="I184" s="210"/>
      <c r="J184" s="111">
        <f t="shared" si="16"/>
        <v>-11657822</v>
      </c>
      <c r="K184" s="210" t="s">
        <v>5061</v>
      </c>
      <c r="L184" s="82">
        <v>904707054</v>
      </c>
      <c r="M184" s="82">
        <v>557394961</v>
      </c>
      <c r="N184" s="111">
        <f t="shared" si="15"/>
        <v>1462102015</v>
      </c>
      <c r="O184" s="111">
        <f t="shared" si="19"/>
        <v>-6711498</v>
      </c>
      <c r="P184" s="111">
        <f t="shared" si="20"/>
        <v>-18369320</v>
      </c>
      <c r="Q184" s="224">
        <v>0</v>
      </c>
    </row>
    <row r="185" spans="9:17">
      <c r="I185" s="187" t="s">
        <v>5064</v>
      </c>
      <c r="J185" s="186">
        <f>L185-L184-200000</f>
        <v>15983884</v>
      </c>
      <c r="K185" s="187" t="s">
        <v>5062</v>
      </c>
      <c r="L185" s="232">
        <v>920890938</v>
      </c>
      <c r="M185" s="232">
        <v>566042468</v>
      </c>
      <c r="N185" s="186">
        <f t="shared" si="15"/>
        <v>1486933406</v>
      </c>
      <c r="O185" s="186">
        <f t="shared" si="19"/>
        <v>8647507</v>
      </c>
      <c r="P185" s="186">
        <f>N185-N184-200000</f>
        <v>24631391</v>
      </c>
      <c r="Q185" s="224">
        <v>200000</v>
      </c>
    </row>
    <row r="186" spans="9:17">
      <c r="I186" s="187" t="s">
        <v>5071</v>
      </c>
      <c r="J186" s="186">
        <f>L186-L185-30000</f>
        <v>1392982</v>
      </c>
      <c r="K186" s="187" t="s">
        <v>5065</v>
      </c>
      <c r="L186" s="232">
        <v>922313920</v>
      </c>
      <c r="M186" s="232">
        <v>567221668</v>
      </c>
      <c r="N186" s="186">
        <f t="shared" si="15"/>
        <v>1489535588</v>
      </c>
      <c r="O186" s="186">
        <f t="shared" si="19"/>
        <v>1179200</v>
      </c>
      <c r="P186" s="186">
        <f>N186-N185-30000</f>
        <v>2572182</v>
      </c>
      <c r="Q186" s="224">
        <v>30000</v>
      </c>
    </row>
    <row r="187" spans="9:17">
      <c r="I187" s="210" t="s">
        <v>5076</v>
      </c>
      <c r="J187" s="111">
        <f t="shared" si="16"/>
        <v>-1865454</v>
      </c>
      <c r="K187" s="210" t="s">
        <v>5075</v>
      </c>
      <c r="L187" s="82">
        <v>920448466</v>
      </c>
      <c r="M187" s="82">
        <v>581598140</v>
      </c>
      <c r="N187" s="111">
        <f t="shared" si="15"/>
        <v>1502046606</v>
      </c>
      <c r="O187" s="111">
        <f>M187-M186-14340000</f>
        <v>36472</v>
      </c>
      <c r="P187" s="111">
        <f>N187-N186-14340000</f>
        <v>-1828982</v>
      </c>
      <c r="Q187" s="224">
        <v>14340000</v>
      </c>
    </row>
    <row r="188" spans="9:17">
      <c r="I188" s="210"/>
      <c r="J188" s="111">
        <f t="shared" si="16"/>
        <v>12522279</v>
      </c>
      <c r="K188" s="210" t="s">
        <v>5077</v>
      </c>
      <c r="L188" s="82">
        <v>932970745</v>
      </c>
      <c r="M188" s="82">
        <v>587671418</v>
      </c>
      <c r="N188" s="215">
        <f t="shared" si="15"/>
        <v>1520642163</v>
      </c>
      <c r="O188" s="111">
        <f t="shared" si="19"/>
        <v>6073278</v>
      </c>
      <c r="P188" s="111">
        <f t="shared" si="20"/>
        <v>18595557</v>
      </c>
      <c r="Q188" s="224">
        <v>0</v>
      </c>
    </row>
    <row r="189" spans="9:17">
      <c r="I189" s="210"/>
      <c r="J189" s="111">
        <f t="shared" si="16"/>
        <v>18096784</v>
      </c>
      <c r="K189" s="210" t="s">
        <v>5024</v>
      </c>
      <c r="L189" s="82">
        <v>951067529</v>
      </c>
      <c r="M189" s="82">
        <v>596275041</v>
      </c>
      <c r="N189" s="215">
        <f t="shared" si="15"/>
        <v>1547342570</v>
      </c>
      <c r="O189" s="111">
        <f t="shared" si="19"/>
        <v>8603623</v>
      </c>
      <c r="P189" s="111">
        <f t="shared" si="20"/>
        <v>26700407</v>
      </c>
      <c r="Q189" s="224">
        <v>0</v>
      </c>
    </row>
    <row r="190" spans="9:17" ht="30">
      <c r="I190" s="261" t="s">
        <v>5083</v>
      </c>
      <c r="J190" s="186">
        <f>L190-L189+4000000</f>
        <v>-1393565</v>
      </c>
      <c r="K190" s="187" t="s">
        <v>5082</v>
      </c>
      <c r="L190" s="232">
        <v>945673964</v>
      </c>
      <c r="M190" s="232">
        <v>604047583</v>
      </c>
      <c r="N190" s="186">
        <f t="shared" si="15"/>
        <v>1549721547</v>
      </c>
      <c r="O190" s="186">
        <f>M190-M189-10000000</f>
        <v>-2227458</v>
      </c>
      <c r="P190" s="186">
        <f>N190-N189-6000000</f>
        <v>-3621023</v>
      </c>
      <c r="Q190" s="224">
        <v>6000000</v>
      </c>
    </row>
    <row r="191" spans="9:17">
      <c r="I191" s="210"/>
      <c r="J191" s="111">
        <f t="shared" si="16"/>
        <v>3150981</v>
      </c>
      <c r="K191" s="210" t="s">
        <v>5084</v>
      </c>
      <c r="L191" s="82">
        <v>948824945</v>
      </c>
      <c r="M191" s="82">
        <v>605597895</v>
      </c>
      <c r="N191" s="215">
        <f t="shared" si="15"/>
        <v>1554422840</v>
      </c>
      <c r="O191" s="111">
        <f t="shared" si="19"/>
        <v>1550312</v>
      </c>
      <c r="P191" s="111">
        <f t="shared" si="20"/>
        <v>4701293</v>
      </c>
      <c r="Q191" s="224">
        <v>0</v>
      </c>
    </row>
    <row r="192" spans="9:17">
      <c r="I192" s="210"/>
      <c r="J192" s="111">
        <f t="shared" si="16"/>
        <v>-10638388</v>
      </c>
      <c r="K192" s="210" t="s">
        <v>5085</v>
      </c>
      <c r="L192" s="82">
        <v>938186557</v>
      </c>
      <c r="M192" s="82">
        <v>598751030</v>
      </c>
      <c r="N192" s="111">
        <f t="shared" si="15"/>
        <v>1536937587</v>
      </c>
      <c r="O192" s="111">
        <f t="shared" si="19"/>
        <v>-6846865</v>
      </c>
      <c r="P192" s="111">
        <f t="shared" si="20"/>
        <v>-17485253</v>
      </c>
      <c r="Q192" s="224">
        <v>0</v>
      </c>
    </row>
    <row r="193" spans="9:17">
      <c r="I193" s="210"/>
      <c r="J193" s="111">
        <f t="shared" si="16"/>
        <v>-21535837</v>
      </c>
      <c r="K193" s="210" t="s">
        <v>4319</v>
      </c>
      <c r="L193" s="82">
        <v>916650720</v>
      </c>
      <c r="M193" s="82">
        <v>586585010</v>
      </c>
      <c r="N193" s="111">
        <f t="shared" si="15"/>
        <v>1503235730</v>
      </c>
      <c r="O193" s="111">
        <f t="shared" si="19"/>
        <v>-12166020</v>
      </c>
      <c r="P193" s="111">
        <f t="shared" si="20"/>
        <v>-33701857</v>
      </c>
      <c r="Q193" s="224">
        <v>0</v>
      </c>
    </row>
    <row r="194" spans="9:17">
      <c r="I194" s="19"/>
      <c r="J194" s="115">
        <f>L194-L193</f>
        <v>-15375391</v>
      </c>
      <c r="K194" s="19" t="s">
        <v>5087</v>
      </c>
      <c r="L194" s="245">
        <v>901275329</v>
      </c>
      <c r="M194" s="245">
        <v>583098793</v>
      </c>
      <c r="N194" s="115">
        <f>L194+M194</f>
        <v>1484374122</v>
      </c>
      <c r="O194" s="115">
        <f t="shared" si="19"/>
        <v>-3486217</v>
      </c>
      <c r="P194" s="115">
        <f>N194-N193</f>
        <v>-18861608</v>
      </c>
      <c r="Q194" s="224">
        <v>0</v>
      </c>
    </row>
    <row r="195" spans="9:17">
      <c r="I195" s="187" t="s">
        <v>5092</v>
      </c>
      <c r="J195" s="186">
        <f>L195-L194-150000</f>
        <v>17593478</v>
      </c>
      <c r="K195" s="187" t="s">
        <v>5090</v>
      </c>
      <c r="L195" s="232">
        <v>919018807</v>
      </c>
      <c r="M195" s="232">
        <v>589857160</v>
      </c>
      <c r="N195" s="186">
        <f t="shared" si="15"/>
        <v>1508875967</v>
      </c>
      <c r="O195" s="186">
        <f>M195-M194</f>
        <v>6758367</v>
      </c>
      <c r="P195" s="186">
        <f>N195-N194-150000</f>
        <v>24351845</v>
      </c>
      <c r="Q195" s="224">
        <v>150000</v>
      </c>
    </row>
    <row r="196" spans="9:17">
      <c r="I196" s="210"/>
      <c r="J196" s="111">
        <f t="shared" si="16"/>
        <v>32160045</v>
      </c>
      <c r="K196" s="210" t="s">
        <v>5093</v>
      </c>
      <c r="L196" s="82">
        <v>951178852</v>
      </c>
      <c r="M196" s="82">
        <v>603949839</v>
      </c>
      <c r="N196" s="215">
        <f t="shared" si="15"/>
        <v>1555128691</v>
      </c>
      <c r="O196" s="111">
        <f t="shared" si="19"/>
        <v>14092679</v>
      </c>
      <c r="P196" s="111">
        <f t="shared" si="20"/>
        <v>46252724</v>
      </c>
      <c r="Q196" s="224">
        <v>0</v>
      </c>
    </row>
    <row r="197" spans="9:17">
      <c r="I197" s="210"/>
      <c r="J197" s="111">
        <f t="shared" si="16"/>
        <v>9807002</v>
      </c>
      <c r="K197" s="210" t="s">
        <v>5094</v>
      </c>
      <c r="L197" s="82">
        <v>960985854</v>
      </c>
      <c r="M197" s="82">
        <v>620237864</v>
      </c>
      <c r="N197" s="215">
        <f t="shared" si="15"/>
        <v>1581223718</v>
      </c>
      <c r="O197" s="111">
        <f t="shared" si="19"/>
        <v>16288025</v>
      </c>
      <c r="P197" s="111">
        <f t="shared" si="20"/>
        <v>26095027</v>
      </c>
      <c r="Q197" s="224">
        <v>0</v>
      </c>
    </row>
    <row r="198" spans="9:17">
      <c r="I198" s="210"/>
      <c r="J198" s="111">
        <f t="shared" si="16"/>
        <v>19013006</v>
      </c>
      <c r="K198" s="210" t="s">
        <v>5097</v>
      </c>
      <c r="L198" s="82">
        <v>979998860</v>
      </c>
      <c r="M198" s="82">
        <v>637744664</v>
      </c>
      <c r="N198" s="215">
        <f t="shared" si="15"/>
        <v>1617743524</v>
      </c>
      <c r="O198" s="111">
        <f t="shared" si="19"/>
        <v>17506800</v>
      </c>
      <c r="P198" s="111">
        <f t="shared" si="20"/>
        <v>36519806</v>
      </c>
      <c r="Q198" s="224">
        <v>0</v>
      </c>
    </row>
    <row r="199" spans="9:17">
      <c r="I199" s="210"/>
      <c r="J199" s="111">
        <f t="shared" si="16"/>
        <v>12077451</v>
      </c>
      <c r="K199" s="210" t="s">
        <v>5122</v>
      </c>
      <c r="L199" s="82">
        <v>992076311</v>
      </c>
      <c r="M199" s="82">
        <v>638214788</v>
      </c>
      <c r="N199" s="215">
        <f t="shared" si="15"/>
        <v>1630291099</v>
      </c>
      <c r="O199" s="111">
        <f t="shared" si="19"/>
        <v>470124</v>
      </c>
      <c r="P199" s="111">
        <f t="shared" si="20"/>
        <v>12547575</v>
      </c>
      <c r="Q199" s="224">
        <v>0</v>
      </c>
    </row>
    <row r="200" spans="9:17">
      <c r="I200" s="187" t="s">
        <v>5125</v>
      </c>
      <c r="J200" s="186">
        <f>L200-L199-400000</f>
        <v>-7612896</v>
      </c>
      <c r="K200" s="187" t="s">
        <v>5123</v>
      </c>
      <c r="L200" s="232">
        <v>984863415</v>
      </c>
      <c r="M200" s="232">
        <v>632226484</v>
      </c>
      <c r="N200" s="186">
        <f t="shared" si="15"/>
        <v>1617089899</v>
      </c>
      <c r="O200" s="186">
        <f t="shared" si="19"/>
        <v>-5988304</v>
      </c>
      <c r="P200" s="186">
        <f>N200-N199-400000</f>
        <v>-13601200</v>
      </c>
      <c r="Q200" s="224">
        <v>400000</v>
      </c>
    </row>
    <row r="201" spans="9:17">
      <c r="I201" s="213" t="s">
        <v>5128</v>
      </c>
      <c r="J201" s="239">
        <f>L201-L200+100000</f>
        <v>12509920</v>
      </c>
      <c r="K201" s="213" t="s">
        <v>5126</v>
      </c>
      <c r="L201" s="240">
        <v>997273335</v>
      </c>
      <c r="M201" s="240">
        <v>639479822</v>
      </c>
      <c r="N201" s="215">
        <f t="shared" si="15"/>
        <v>1636753157</v>
      </c>
      <c r="O201" s="239">
        <f t="shared" si="19"/>
        <v>7253338</v>
      </c>
      <c r="P201" s="239">
        <f>N201-N200+100000</f>
        <v>19763258</v>
      </c>
      <c r="Q201" s="224">
        <v>-100000</v>
      </c>
    </row>
    <row r="202" spans="9:17">
      <c r="I202" s="187" t="s">
        <v>5131</v>
      </c>
      <c r="J202" s="186">
        <f>L202-L201-10000000</f>
        <v>-2265988</v>
      </c>
      <c r="K202" s="187" t="s">
        <v>5130</v>
      </c>
      <c r="L202" s="232">
        <v>1005007347</v>
      </c>
      <c r="M202" s="232">
        <v>636084938</v>
      </c>
      <c r="N202" s="186">
        <f t="shared" si="15"/>
        <v>1641092285</v>
      </c>
      <c r="O202" s="186">
        <f t="shared" si="19"/>
        <v>-3394884</v>
      </c>
      <c r="P202" s="186">
        <f>N202-N201-10000000</f>
        <v>-5660872</v>
      </c>
      <c r="Q202" s="224">
        <v>10000000</v>
      </c>
    </row>
    <row r="203" spans="9:17">
      <c r="I203" s="213" t="s">
        <v>5136</v>
      </c>
      <c r="J203" s="239">
        <f>L203-L202+400000</f>
        <v>8061336</v>
      </c>
      <c r="K203" s="213" t="s">
        <v>5135</v>
      </c>
      <c r="L203" s="240">
        <v>1012668683</v>
      </c>
      <c r="M203" s="240">
        <v>641491326</v>
      </c>
      <c r="N203" s="215">
        <f t="shared" si="15"/>
        <v>1654160009</v>
      </c>
      <c r="O203" s="239">
        <f t="shared" si="19"/>
        <v>5406388</v>
      </c>
      <c r="P203" s="239">
        <f>N203-N202+400000</f>
        <v>13467724</v>
      </c>
      <c r="Q203" s="224">
        <v>-400000</v>
      </c>
    </row>
    <row r="204" spans="9:17">
      <c r="I204" s="213" t="s">
        <v>5137</v>
      </c>
      <c r="J204" s="239">
        <f t="shared" ref="J204:J237" si="21">L204-L203</f>
        <v>-21392180</v>
      </c>
      <c r="K204" s="213" t="s">
        <v>960</v>
      </c>
      <c r="L204" s="240">
        <v>991276503</v>
      </c>
      <c r="M204" s="240">
        <v>624698003</v>
      </c>
      <c r="N204" s="239">
        <f t="shared" ref="N204:N213" si="22">L204+M204</f>
        <v>1615974506</v>
      </c>
      <c r="O204" s="239">
        <f>M204-M203+3960043</f>
        <v>-12833280</v>
      </c>
      <c r="P204" s="239">
        <f>N204-N203+3960043</f>
        <v>-34225460</v>
      </c>
      <c r="Q204" s="224">
        <v>-3960043</v>
      </c>
    </row>
    <row r="205" spans="9:17">
      <c r="I205" s="210"/>
      <c r="J205" s="111">
        <f t="shared" si="21"/>
        <v>3426714</v>
      </c>
      <c r="K205" s="210" t="s">
        <v>5138</v>
      </c>
      <c r="L205" s="82">
        <v>994703217</v>
      </c>
      <c r="M205" s="82">
        <v>626521958</v>
      </c>
      <c r="N205" s="111">
        <f t="shared" si="22"/>
        <v>1621225175</v>
      </c>
      <c r="O205" s="111">
        <f>M205-M204</f>
        <v>1823955</v>
      </c>
      <c r="P205" s="111">
        <f>N205-N204</f>
        <v>5250669</v>
      </c>
      <c r="Q205" s="224">
        <v>0</v>
      </c>
    </row>
    <row r="206" spans="9:17">
      <c r="I206" s="210"/>
      <c r="J206" s="111">
        <f t="shared" si="21"/>
        <v>-3600500</v>
      </c>
      <c r="K206" s="210" t="s">
        <v>5141</v>
      </c>
      <c r="L206" s="82">
        <v>991102717</v>
      </c>
      <c r="M206" s="82">
        <v>623731041</v>
      </c>
      <c r="N206" s="111">
        <f t="shared" si="22"/>
        <v>1614833758</v>
      </c>
      <c r="O206" s="111">
        <f>M206-M205</f>
        <v>-2790917</v>
      </c>
      <c r="P206" s="111">
        <f>N206-N205</f>
        <v>-6391417</v>
      </c>
      <c r="Q206" s="224">
        <v>0</v>
      </c>
    </row>
    <row r="207" spans="9:17">
      <c r="I207" s="187" t="s">
        <v>5144</v>
      </c>
      <c r="J207" s="186">
        <f>L207-L206-1300000</f>
        <v>-17889835</v>
      </c>
      <c r="K207" s="187" t="s">
        <v>5142</v>
      </c>
      <c r="L207" s="232">
        <v>974512882</v>
      </c>
      <c r="M207" s="232">
        <v>611227725</v>
      </c>
      <c r="N207" s="186">
        <f t="shared" si="22"/>
        <v>1585740607</v>
      </c>
      <c r="O207" s="186">
        <f>M207-M206-230000</f>
        <v>-12733316</v>
      </c>
      <c r="P207" s="186">
        <f>N207-N206-1530000</f>
        <v>-30623151</v>
      </c>
      <c r="Q207" s="224">
        <v>1530000</v>
      </c>
    </row>
    <row r="208" spans="9:17">
      <c r="I208" s="213" t="s">
        <v>5146</v>
      </c>
      <c r="J208" s="239">
        <f>L208-L207-230000</f>
        <v>26666770</v>
      </c>
      <c r="K208" s="213" t="s">
        <v>5145</v>
      </c>
      <c r="L208" s="240">
        <v>1001409652</v>
      </c>
      <c r="M208" s="240">
        <v>627313031</v>
      </c>
      <c r="N208" s="239">
        <f t="shared" si="22"/>
        <v>1628722683</v>
      </c>
      <c r="O208" s="239">
        <f>M208-M207+880000</f>
        <v>16965306</v>
      </c>
      <c r="P208" s="239">
        <f>N208-N207</f>
        <v>42982076</v>
      </c>
      <c r="Q208" s="224">
        <v>-650000</v>
      </c>
    </row>
    <row r="209" spans="9:19">
      <c r="I209" s="187" t="s">
        <v>5147</v>
      </c>
      <c r="J209" s="186">
        <f>L209-L208-880000</f>
        <v>38363123</v>
      </c>
      <c r="K209" s="187" t="s">
        <v>5148</v>
      </c>
      <c r="L209" s="232">
        <v>1040652775</v>
      </c>
      <c r="M209" s="232">
        <v>653526288</v>
      </c>
      <c r="N209" s="215">
        <f t="shared" si="22"/>
        <v>1694179063</v>
      </c>
      <c r="O209" s="186">
        <f>M209-M208</f>
        <v>26213257</v>
      </c>
      <c r="P209" s="186">
        <f>N209-N208-880000</f>
        <v>64576380</v>
      </c>
      <c r="Q209" s="224">
        <v>880000</v>
      </c>
    </row>
    <row r="210" spans="9:19">
      <c r="I210" s="213" t="s">
        <v>5150</v>
      </c>
      <c r="J210" s="239">
        <f>L210-L209+900000</f>
        <v>20298534</v>
      </c>
      <c r="K210" s="213" t="s">
        <v>5149</v>
      </c>
      <c r="L210" s="240">
        <v>1060051309</v>
      </c>
      <c r="M210" s="240">
        <v>663872836</v>
      </c>
      <c r="N210" s="215">
        <f t="shared" si="22"/>
        <v>1723924145</v>
      </c>
      <c r="O210" s="239">
        <f>M210-M209-200000</f>
        <v>10146548</v>
      </c>
      <c r="P210" s="239">
        <f>N210-N209+700000</f>
        <v>30445082</v>
      </c>
      <c r="Q210" s="224">
        <v>-700000</v>
      </c>
    </row>
    <row r="211" spans="9:19">
      <c r="I211" s="187" t="s">
        <v>5151</v>
      </c>
      <c r="J211" s="186">
        <f>L211-L210+3500000</f>
        <v>4965285</v>
      </c>
      <c r="K211" s="187" t="s">
        <v>977</v>
      </c>
      <c r="L211" s="232">
        <v>1061516594</v>
      </c>
      <c r="M211" s="232">
        <v>663100475</v>
      </c>
      <c r="N211" s="186">
        <f t="shared" si="22"/>
        <v>1724617069</v>
      </c>
      <c r="O211" s="186">
        <f>M211-M210-4300000</f>
        <v>-5072361</v>
      </c>
      <c r="P211" s="186">
        <f>N211-N210-800000</f>
        <v>-107076</v>
      </c>
      <c r="Q211" s="224">
        <v>800000</v>
      </c>
    </row>
    <row r="212" spans="9:19">
      <c r="I212" s="210" t="s">
        <v>5152</v>
      </c>
      <c r="J212" s="111">
        <f>L212-L211+1600000</f>
        <v>-56870795</v>
      </c>
      <c r="K212" s="210" t="s">
        <v>4256</v>
      </c>
      <c r="L212" s="82">
        <v>1003045799</v>
      </c>
      <c r="M212" s="82">
        <v>634655771</v>
      </c>
      <c r="N212" s="111">
        <f t="shared" si="22"/>
        <v>1637701570</v>
      </c>
      <c r="O212" s="111">
        <f>M212-M211-1600000</f>
        <v>-30044704</v>
      </c>
      <c r="P212" s="111">
        <f>N212-N211</f>
        <v>-86915499</v>
      </c>
      <c r="Q212" s="224">
        <v>0</v>
      </c>
    </row>
    <row r="213" spans="9:19">
      <c r="I213" s="210" t="s">
        <v>5153</v>
      </c>
      <c r="J213" s="111">
        <f>L213-L212+800000</f>
        <v>15351721</v>
      </c>
      <c r="K213" s="210" t="s">
        <v>5154</v>
      </c>
      <c r="L213" s="82">
        <v>1017597520</v>
      </c>
      <c r="M213" s="82">
        <v>638870084</v>
      </c>
      <c r="N213" s="111">
        <f t="shared" si="22"/>
        <v>1656467604</v>
      </c>
      <c r="O213" s="111">
        <f>M213-M212+10000000</f>
        <v>14214313</v>
      </c>
      <c r="P213" s="111">
        <f>N213-N212+10800000</f>
        <v>29566034</v>
      </c>
      <c r="Q213" s="224">
        <v>-10800000</v>
      </c>
    </row>
    <row r="214" spans="9:19">
      <c r="I214" s="213" t="s">
        <v>5160</v>
      </c>
      <c r="J214" s="239">
        <f t="shared" si="21"/>
        <v>-18127600</v>
      </c>
      <c r="K214" s="213" t="s">
        <v>5156</v>
      </c>
      <c r="L214" s="240">
        <v>999469920</v>
      </c>
      <c r="M214" s="240">
        <v>621895248</v>
      </c>
      <c r="N214" s="239">
        <f t="shared" ref="N214:N239" si="23">L214+M214</f>
        <v>1621365168</v>
      </c>
      <c r="O214" s="239">
        <f>M214-M213-771000</f>
        <v>-17745836</v>
      </c>
      <c r="P214" s="239">
        <f>N214-N213-771000</f>
        <v>-35873436</v>
      </c>
      <c r="Q214" s="224">
        <v>771000</v>
      </c>
    </row>
    <row r="215" spans="9:19">
      <c r="I215" s="210"/>
      <c r="J215" s="111">
        <f t="shared" si="21"/>
        <v>11344596</v>
      </c>
      <c r="K215" s="210" t="s">
        <v>5161</v>
      </c>
      <c r="L215" s="82">
        <v>1010814516</v>
      </c>
      <c r="M215" s="82">
        <v>632227289</v>
      </c>
      <c r="N215" s="111">
        <f t="shared" si="23"/>
        <v>1643041805</v>
      </c>
      <c r="O215" s="111">
        <f t="shared" ref="O215:O239" si="24">M215-M214</f>
        <v>10332041</v>
      </c>
      <c r="P215" s="111">
        <f t="shared" ref="P215:P237" si="25">N215-N214</f>
        <v>21676637</v>
      </c>
      <c r="Q215" s="224">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4">
        <v>0</v>
      </c>
    </row>
    <row r="217" spans="9:19">
      <c r="I217" s="213" t="s">
        <v>5163</v>
      </c>
      <c r="J217" s="239">
        <f>L217-L216-50000</f>
        <v>-3947893</v>
      </c>
      <c r="K217" s="213" t="s">
        <v>5162</v>
      </c>
      <c r="L217" s="240">
        <v>1010326365</v>
      </c>
      <c r="M217" s="240">
        <v>632690003</v>
      </c>
      <c r="N217" s="239">
        <f t="shared" si="23"/>
        <v>1643016368</v>
      </c>
      <c r="O217" s="239">
        <f t="shared" si="24"/>
        <v>-2811879</v>
      </c>
      <c r="P217" s="239">
        <f>N217-N216-50000</f>
        <v>-6759772</v>
      </c>
      <c r="Q217" s="224">
        <v>50000</v>
      </c>
    </row>
    <row r="218" spans="9:19">
      <c r="I218" s="213" t="s">
        <v>5165</v>
      </c>
      <c r="J218" s="239">
        <f>L218-L217-400000</f>
        <v>-7352281</v>
      </c>
      <c r="K218" s="213" t="s">
        <v>5167</v>
      </c>
      <c r="L218" s="240">
        <v>1003374084</v>
      </c>
      <c r="M218" s="240">
        <v>629402570</v>
      </c>
      <c r="N218" s="239">
        <f t="shared" si="23"/>
        <v>1632776654</v>
      </c>
      <c r="O218" s="239">
        <f t="shared" si="24"/>
        <v>-3287433</v>
      </c>
      <c r="P218" s="239">
        <f>N218-N217-400000</f>
        <v>-10639714</v>
      </c>
      <c r="Q218" s="224">
        <v>400000</v>
      </c>
      <c r="S218" t="s">
        <v>25</v>
      </c>
    </row>
    <row r="219" spans="9:19">
      <c r="I219" s="210"/>
      <c r="J219" s="111">
        <f t="shared" si="21"/>
        <v>-3856402</v>
      </c>
      <c r="K219" s="210" t="s">
        <v>5169</v>
      </c>
      <c r="L219" s="82">
        <v>999517682</v>
      </c>
      <c r="M219" s="82">
        <v>627640361</v>
      </c>
      <c r="N219" s="111">
        <f t="shared" si="23"/>
        <v>1627158043</v>
      </c>
      <c r="O219" s="111">
        <f t="shared" si="24"/>
        <v>-1762209</v>
      </c>
      <c r="P219" s="111">
        <f t="shared" si="25"/>
        <v>-5618611</v>
      </c>
      <c r="Q219" s="224">
        <v>0</v>
      </c>
    </row>
    <row r="220" spans="9:19">
      <c r="I220" s="187" t="s">
        <v>5171</v>
      </c>
      <c r="J220" s="186">
        <f t="shared" si="21"/>
        <v>30762624</v>
      </c>
      <c r="K220" s="187" t="s">
        <v>5170</v>
      </c>
      <c r="L220" s="232">
        <v>1030280306</v>
      </c>
      <c r="M220" s="232">
        <v>645538230</v>
      </c>
      <c r="N220" s="186">
        <f t="shared" si="23"/>
        <v>1675818536</v>
      </c>
      <c r="O220" s="186">
        <f>M220-M219+500000</f>
        <v>18397869</v>
      </c>
      <c r="P220" s="186">
        <f>N220-N219+500000</f>
        <v>49160493</v>
      </c>
      <c r="Q220" s="224">
        <v>-500000</v>
      </c>
    </row>
    <row r="221" spans="9:19">
      <c r="I221" s="210"/>
      <c r="J221" s="111">
        <f t="shared" si="21"/>
        <v>-16347657</v>
      </c>
      <c r="K221" s="210" t="s">
        <v>5140</v>
      </c>
      <c r="L221" s="82">
        <v>1013932649</v>
      </c>
      <c r="M221" s="82">
        <v>635152182</v>
      </c>
      <c r="N221" s="111">
        <f t="shared" si="23"/>
        <v>1649084831</v>
      </c>
      <c r="O221" s="111">
        <f t="shared" si="24"/>
        <v>-10386048</v>
      </c>
      <c r="P221" s="111">
        <f t="shared" si="25"/>
        <v>-26733705</v>
      </c>
      <c r="Q221" s="224">
        <v>0</v>
      </c>
    </row>
    <row r="222" spans="9:19">
      <c r="I222" s="266" t="s">
        <v>5175</v>
      </c>
      <c r="J222" s="267">
        <f>L222-L221+7000000</f>
        <v>4431891</v>
      </c>
      <c r="K222" s="266" t="s">
        <v>5176</v>
      </c>
      <c r="L222" s="268">
        <v>1011364540</v>
      </c>
      <c r="M222" s="268">
        <v>634014280</v>
      </c>
      <c r="N222" s="267">
        <f t="shared" si="23"/>
        <v>1645378820</v>
      </c>
      <c r="O222" s="267">
        <f t="shared" si="24"/>
        <v>-1137902</v>
      </c>
      <c r="P222" s="267">
        <f>N222-N221+7000000</f>
        <v>3293989</v>
      </c>
      <c r="Q222" s="224">
        <v>-7000000</v>
      </c>
    </row>
    <row r="223" spans="9:19">
      <c r="I223" s="213" t="s">
        <v>5178</v>
      </c>
      <c r="J223" s="239">
        <f t="shared" si="21"/>
        <v>-12364540</v>
      </c>
      <c r="K223" s="213" t="s">
        <v>5177</v>
      </c>
      <c r="L223" s="240">
        <v>999000000</v>
      </c>
      <c r="M223" s="240">
        <v>628000000</v>
      </c>
      <c r="N223" s="239">
        <f t="shared" si="23"/>
        <v>1627000000</v>
      </c>
      <c r="O223" s="239">
        <f>M223-M222-300000</f>
        <v>-6314280</v>
      </c>
      <c r="P223" s="239">
        <f>N223-N222-300000</f>
        <v>-18678820</v>
      </c>
      <c r="Q223" s="224">
        <v>300000</v>
      </c>
    </row>
    <row r="224" spans="9:19">
      <c r="I224" s="210"/>
      <c r="J224" s="111">
        <f t="shared" si="21"/>
        <v>1428495</v>
      </c>
      <c r="K224" s="210" t="s">
        <v>5179</v>
      </c>
      <c r="L224" s="82">
        <v>1000428495</v>
      </c>
      <c r="M224" s="82">
        <v>629000000</v>
      </c>
      <c r="N224" s="111">
        <f t="shared" si="23"/>
        <v>1629428495</v>
      </c>
      <c r="O224" s="111">
        <f t="shared" si="24"/>
        <v>1000000</v>
      </c>
      <c r="P224" s="111">
        <f t="shared" si="25"/>
        <v>2428495</v>
      </c>
      <c r="Q224" s="224">
        <v>0</v>
      </c>
    </row>
    <row r="225" spans="9:19">
      <c r="I225" s="210"/>
      <c r="J225" s="111">
        <f t="shared" si="21"/>
        <v>211881</v>
      </c>
      <c r="K225" s="210" t="s">
        <v>5180</v>
      </c>
      <c r="L225" s="82">
        <v>1000640376</v>
      </c>
      <c r="M225" s="82">
        <v>627621912</v>
      </c>
      <c r="N225" s="111">
        <f t="shared" si="23"/>
        <v>1628262288</v>
      </c>
      <c r="O225" s="111">
        <f t="shared" si="24"/>
        <v>-1378088</v>
      </c>
      <c r="P225" s="111">
        <f t="shared" si="25"/>
        <v>-1166207</v>
      </c>
      <c r="Q225" s="224">
        <v>0</v>
      </c>
    </row>
    <row r="226" spans="9:19">
      <c r="I226" s="210"/>
      <c r="J226" s="111">
        <f t="shared" si="21"/>
        <v>-5640376</v>
      </c>
      <c r="K226" s="210" t="s">
        <v>5181</v>
      </c>
      <c r="L226" s="82">
        <v>995000000</v>
      </c>
      <c r="M226" s="82">
        <v>625000000</v>
      </c>
      <c r="N226" s="111">
        <f t="shared" si="23"/>
        <v>1620000000</v>
      </c>
      <c r="O226" s="111">
        <f t="shared" si="24"/>
        <v>-2621912</v>
      </c>
      <c r="P226" s="111">
        <f t="shared" si="25"/>
        <v>-8262288</v>
      </c>
      <c r="Q226" s="224">
        <v>0</v>
      </c>
    </row>
    <row r="227" spans="9:19">
      <c r="I227" s="187" t="s">
        <v>5182</v>
      </c>
      <c r="J227" s="186">
        <f t="shared" si="21"/>
        <v>-3000000</v>
      </c>
      <c r="K227" s="187" t="s">
        <v>976</v>
      </c>
      <c r="L227" s="232">
        <v>992000000</v>
      </c>
      <c r="M227" s="232">
        <v>624000000</v>
      </c>
      <c r="N227" s="186">
        <f t="shared" si="23"/>
        <v>1616000000</v>
      </c>
      <c r="O227" s="186">
        <f>M227-M226+50000</f>
        <v>-950000</v>
      </c>
      <c r="P227" s="186">
        <f>N227-N226+50000</f>
        <v>-3950000</v>
      </c>
      <c r="Q227" s="224">
        <v>-50000</v>
      </c>
    </row>
    <row r="228" spans="9:19">
      <c r="I228" s="210"/>
      <c r="J228" s="111">
        <f t="shared" si="21"/>
        <v>-5000000</v>
      </c>
      <c r="K228" s="210" t="s">
        <v>5184</v>
      </c>
      <c r="L228" s="82">
        <v>987000000</v>
      </c>
      <c r="M228" s="82">
        <v>621000000</v>
      </c>
      <c r="N228" s="111">
        <f t="shared" si="23"/>
        <v>1608000000</v>
      </c>
      <c r="O228" s="111">
        <f t="shared" si="24"/>
        <v>-3000000</v>
      </c>
      <c r="P228" s="111">
        <f t="shared" si="25"/>
        <v>-8000000</v>
      </c>
      <c r="Q228" s="224">
        <v>0</v>
      </c>
    </row>
    <row r="229" spans="9:19">
      <c r="I229" s="210"/>
      <c r="J229" s="111">
        <f t="shared" si="21"/>
        <v>-3300000</v>
      </c>
      <c r="K229" s="210" t="s">
        <v>5185</v>
      </c>
      <c r="L229" s="82">
        <v>983700000</v>
      </c>
      <c r="M229" s="82">
        <v>617000000</v>
      </c>
      <c r="N229" s="111">
        <f t="shared" si="23"/>
        <v>1600700000</v>
      </c>
      <c r="O229" s="111">
        <f t="shared" si="24"/>
        <v>-4000000</v>
      </c>
      <c r="P229" s="111">
        <f t="shared" si="25"/>
        <v>-7300000</v>
      </c>
      <c r="Q229" s="224">
        <v>0</v>
      </c>
    </row>
    <row r="230" spans="9:19">
      <c r="I230" s="210"/>
      <c r="J230" s="111">
        <f t="shared" si="21"/>
        <v>-2353171</v>
      </c>
      <c r="K230" s="210" t="s">
        <v>5186</v>
      </c>
      <c r="L230" s="82">
        <v>981346829</v>
      </c>
      <c r="M230" s="82">
        <v>616768631</v>
      </c>
      <c r="N230" s="111">
        <f>L230+M230</f>
        <v>1598115460</v>
      </c>
      <c r="O230" s="111">
        <f t="shared" si="24"/>
        <v>-231369</v>
      </c>
      <c r="P230" s="111">
        <f t="shared" si="25"/>
        <v>-2584540</v>
      </c>
      <c r="Q230" s="224">
        <v>0</v>
      </c>
    </row>
    <row r="231" spans="9:19">
      <c r="I231" s="187" t="s">
        <v>5188</v>
      </c>
      <c r="J231" s="186">
        <f t="shared" si="21"/>
        <v>-16599065</v>
      </c>
      <c r="K231" s="187" t="s">
        <v>4366</v>
      </c>
      <c r="L231" s="232">
        <v>964747764</v>
      </c>
      <c r="M231" s="232">
        <v>608415190</v>
      </c>
      <c r="N231" s="186">
        <f t="shared" si="23"/>
        <v>1573162954</v>
      </c>
      <c r="O231" s="186">
        <f t="shared" si="24"/>
        <v>-8353441</v>
      </c>
      <c r="P231" s="186">
        <f t="shared" si="25"/>
        <v>-24952506</v>
      </c>
      <c r="Q231" s="224">
        <v>-268952</v>
      </c>
      <c r="S231" t="s">
        <v>25</v>
      </c>
    </row>
    <row r="232" spans="9:19">
      <c r="I232" s="210"/>
      <c r="J232" s="111">
        <f t="shared" si="21"/>
        <v>18016509</v>
      </c>
      <c r="K232" s="210" t="s">
        <v>5187</v>
      </c>
      <c r="L232" s="82">
        <v>982764273</v>
      </c>
      <c r="M232" s="82">
        <v>618232370</v>
      </c>
      <c r="N232" s="111">
        <f t="shared" si="23"/>
        <v>1600996643</v>
      </c>
      <c r="O232" s="111">
        <f t="shared" si="24"/>
        <v>9817180</v>
      </c>
      <c r="P232" s="111">
        <f t="shared" si="25"/>
        <v>27833689</v>
      </c>
      <c r="Q232" s="224">
        <v>0</v>
      </c>
    </row>
    <row r="233" spans="9:19">
      <c r="I233" s="187" t="s">
        <v>5190</v>
      </c>
      <c r="J233" s="186">
        <f>L233-L232+990760</f>
        <v>270597</v>
      </c>
      <c r="K233" s="187" t="s">
        <v>5189</v>
      </c>
      <c r="L233" s="232">
        <v>982044110</v>
      </c>
      <c r="M233" s="232">
        <v>618201286</v>
      </c>
      <c r="N233" s="186">
        <f t="shared" si="23"/>
        <v>1600245396</v>
      </c>
      <c r="O233" s="186">
        <f t="shared" si="24"/>
        <v>-31084</v>
      </c>
      <c r="P233" s="186">
        <f>N233-N232+990760</f>
        <v>239513</v>
      </c>
      <c r="Q233" s="224">
        <v>-990760</v>
      </c>
    </row>
    <row r="234" spans="9:19">
      <c r="I234" s="210"/>
      <c r="J234" s="111">
        <f t="shared" si="21"/>
        <v>5089506</v>
      </c>
      <c r="K234" s="210" t="s">
        <v>5191</v>
      </c>
      <c r="L234" s="82">
        <v>987133616</v>
      </c>
      <c r="M234" s="82">
        <v>620624722</v>
      </c>
      <c r="N234" s="111">
        <f t="shared" si="23"/>
        <v>1607758338</v>
      </c>
      <c r="O234" s="111">
        <f t="shared" si="24"/>
        <v>2423436</v>
      </c>
      <c r="P234" s="111">
        <f t="shared" si="25"/>
        <v>7512942</v>
      </c>
      <c r="Q234" s="224">
        <v>0</v>
      </c>
    </row>
    <row r="235" spans="9:19">
      <c r="I235" s="210"/>
      <c r="J235" s="111">
        <f t="shared" si="21"/>
        <v>4922472</v>
      </c>
      <c r="K235" s="210" t="s">
        <v>5192</v>
      </c>
      <c r="L235" s="82">
        <v>992056088</v>
      </c>
      <c r="M235" s="82">
        <v>622612430</v>
      </c>
      <c r="N235" s="111">
        <f t="shared" si="23"/>
        <v>1614668518</v>
      </c>
      <c r="O235" s="111">
        <f t="shared" si="24"/>
        <v>1987708</v>
      </c>
      <c r="P235" s="111">
        <f t="shared" si="25"/>
        <v>6910180</v>
      </c>
      <c r="Q235" s="224">
        <v>0</v>
      </c>
    </row>
    <row r="236" spans="9:19">
      <c r="I236" s="210"/>
      <c r="J236" s="111">
        <f t="shared" si="21"/>
        <v>-8549283</v>
      </c>
      <c r="K236" s="210" t="s">
        <v>5195</v>
      </c>
      <c r="L236" s="82">
        <v>983506805</v>
      </c>
      <c r="M236" s="82">
        <v>617484940</v>
      </c>
      <c r="N236" s="111">
        <f t="shared" si="23"/>
        <v>1600991745</v>
      </c>
      <c r="O236" s="111">
        <f t="shared" si="24"/>
        <v>-5127490</v>
      </c>
      <c r="P236" s="111">
        <f t="shared" si="25"/>
        <v>-13676773</v>
      </c>
      <c r="Q236" s="224">
        <v>0</v>
      </c>
    </row>
    <row r="237" spans="9:19">
      <c r="I237" s="210"/>
      <c r="J237" s="111">
        <f t="shared" si="21"/>
        <v>-9570969</v>
      </c>
      <c r="K237" s="210" t="s">
        <v>5196</v>
      </c>
      <c r="L237" s="82">
        <v>973935836</v>
      </c>
      <c r="M237" s="82">
        <v>612781866</v>
      </c>
      <c r="N237" s="111">
        <f t="shared" si="23"/>
        <v>1586717702</v>
      </c>
      <c r="O237" s="111">
        <f t="shared" si="24"/>
        <v>-4703074</v>
      </c>
      <c r="P237" s="111">
        <f t="shared" si="25"/>
        <v>-14274043</v>
      </c>
      <c r="Q237" s="224">
        <v>0</v>
      </c>
    </row>
    <row r="238" spans="9:19">
      <c r="I238" s="213" t="s">
        <v>5198</v>
      </c>
      <c r="J238" s="239">
        <f>L238-L237-101268</f>
        <v>10034013</v>
      </c>
      <c r="K238" s="213" t="s">
        <v>5197</v>
      </c>
      <c r="L238" s="240">
        <v>984071117</v>
      </c>
      <c r="M238" s="240">
        <v>619527192</v>
      </c>
      <c r="N238" s="239">
        <f t="shared" si="23"/>
        <v>1603598309</v>
      </c>
      <c r="O238" s="239">
        <f t="shared" si="24"/>
        <v>6745326</v>
      </c>
      <c r="P238" s="239">
        <f>N238-N237-101268</f>
        <v>16779339</v>
      </c>
      <c r="Q238" s="224">
        <v>101268</v>
      </c>
    </row>
    <row r="239" spans="9:19">
      <c r="I239" s="269" t="s">
        <v>5199</v>
      </c>
      <c r="J239" s="92">
        <f>L239-L238-101000</f>
        <v>-5512506</v>
      </c>
      <c r="K239" s="269" t="s">
        <v>5200</v>
      </c>
      <c r="L239" s="270">
        <v>978659611</v>
      </c>
      <c r="M239" s="270">
        <v>617623197</v>
      </c>
      <c r="N239" s="92">
        <f t="shared" si="23"/>
        <v>1596282808</v>
      </c>
      <c r="O239" s="92">
        <f t="shared" si="24"/>
        <v>-1903995</v>
      </c>
      <c r="P239" s="92">
        <f>N239-N238-101000</f>
        <v>-7416501</v>
      </c>
      <c r="Q239" s="224">
        <v>101000</v>
      </c>
    </row>
    <row r="240" spans="9:19">
      <c r="I240" s="210"/>
      <c r="J240" s="111">
        <f t="shared" ref="J240:J252" si="26">L240-L239</f>
        <v>-3538077</v>
      </c>
      <c r="K240" s="210" t="s">
        <v>5201</v>
      </c>
      <c r="L240" s="82">
        <v>975121534</v>
      </c>
      <c r="M240" s="82">
        <v>616980448</v>
      </c>
      <c r="N240" s="111">
        <f t="shared" ref="N240:N252" si="27">L240+M240</f>
        <v>1592101982</v>
      </c>
      <c r="O240" s="111">
        <f t="shared" ref="O240:P246" si="28">M240-M239</f>
        <v>-642749</v>
      </c>
      <c r="P240" s="111">
        <f t="shared" si="28"/>
        <v>-4180826</v>
      </c>
      <c r="Q240" s="224">
        <v>0</v>
      </c>
    </row>
    <row r="241" spans="9:19">
      <c r="I241" s="210"/>
      <c r="J241" s="111">
        <f t="shared" si="26"/>
        <v>8213727</v>
      </c>
      <c r="K241" s="210" t="s">
        <v>5203</v>
      </c>
      <c r="L241" s="82">
        <v>983335261</v>
      </c>
      <c r="M241" s="82">
        <v>621742615</v>
      </c>
      <c r="N241" s="111">
        <f t="shared" si="27"/>
        <v>1605077876</v>
      </c>
      <c r="O241" s="111">
        <f t="shared" si="28"/>
        <v>4762167</v>
      </c>
      <c r="P241" s="111">
        <f t="shared" si="28"/>
        <v>12975894</v>
      </c>
      <c r="Q241" s="224">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4">
        <v>0</v>
      </c>
    </row>
    <row r="243" spans="9:19">
      <c r="I243" s="210"/>
      <c r="J243" s="111">
        <f t="shared" si="26"/>
        <v>27014</v>
      </c>
      <c r="K243" s="210" t="s">
        <v>5205</v>
      </c>
      <c r="L243" s="82">
        <v>983259718</v>
      </c>
      <c r="M243" s="82">
        <v>621468793</v>
      </c>
      <c r="N243" s="111">
        <f t="shared" si="27"/>
        <v>1604728511</v>
      </c>
      <c r="O243" s="111">
        <f t="shared" si="28"/>
        <v>318844</v>
      </c>
      <c r="P243" s="111">
        <f t="shared" si="28"/>
        <v>345858</v>
      </c>
      <c r="Q243" s="224">
        <v>0</v>
      </c>
    </row>
    <row r="244" spans="9:19">
      <c r="I244" s="210"/>
      <c r="J244" s="111">
        <f t="shared" si="26"/>
        <v>19769</v>
      </c>
      <c r="K244" s="210" t="s">
        <v>5206</v>
      </c>
      <c r="L244" s="82">
        <v>983279487</v>
      </c>
      <c r="M244" s="82">
        <v>620877319</v>
      </c>
      <c r="N244" s="111">
        <f t="shared" si="27"/>
        <v>1604156806</v>
      </c>
      <c r="O244" s="111">
        <f t="shared" si="28"/>
        <v>-591474</v>
      </c>
      <c r="P244" s="111">
        <f t="shared" si="28"/>
        <v>-571705</v>
      </c>
      <c r="Q244" s="224">
        <v>0</v>
      </c>
    </row>
    <row r="245" spans="9:19">
      <c r="I245" s="210"/>
      <c r="J245" s="111">
        <f t="shared" si="26"/>
        <v>15299717</v>
      </c>
      <c r="K245" s="210" t="s">
        <v>5207</v>
      </c>
      <c r="L245" s="82">
        <v>998579204</v>
      </c>
      <c r="M245" s="82">
        <v>629376264</v>
      </c>
      <c r="N245" s="111">
        <f t="shared" si="27"/>
        <v>1627955468</v>
      </c>
      <c r="O245" s="111">
        <f t="shared" si="28"/>
        <v>8498945</v>
      </c>
      <c r="P245" s="111">
        <f t="shared" si="28"/>
        <v>23798662</v>
      </c>
      <c r="Q245" s="224">
        <v>0</v>
      </c>
    </row>
    <row r="246" spans="9:19">
      <c r="I246" s="210"/>
      <c r="J246" s="111">
        <f t="shared" si="26"/>
        <v>8005</v>
      </c>
      <c r="K246" s="210" t="s">
        <v>5210</v>
      </c>
      <c r="L246" s="82">
        <v>998587209</v>
      </c>
      <c r="M246" s="82">
        <v>628989460</v>
      </c>
      <c r="N246" s="111">
        <f t="shared" si="27"/>
        <v>1627576669</v>
      </c>
      <c r="O246" s="111">
        <f t="shared" si="28"/>
        <v>-386804</v>
      </c>
      <c r="P246" s="111">
        <f t="shared" si="28"/>
        <v>-378799</v>
      </c>
      <c r="Q246" s="224">
        <v>0</v>
      </c>
    </row>
    <row r="247" spans="9:19">
      <c r="I247" s="187" t="s">
        <v>5212</v>
      </c>
      <c r="J247" s="186">
        <f t="shared" si="26"/>
        <v>57939414</v>
      </c>
      <c r="K247" s="187" t="s">
        <v>5211</v>
      </c>
      <c r="L247" s="232">
        <v>1056526623</v>
      </c>
      <c r="M247" s="232">
        <v>660656770</v>
      </c>
      <c r="N247" s="215">
        <f t="shared" si="27"/>
        <v>1717183393</v>
      </c>
      <c r="O247" s="186">
        <f>M247-M246+3020635</f>
        <v>34687945</v>
      </c>
      <c r="P247" s="186">
        <f>N247-N246+3020635</f>
        <v>92627359</v>
      </c>
      <c r="Q247" s="224">
        <v>-3020635</v>
      </c>
    </row>
    <row r="248" spans="9:19">
      <c r="I248" s="210"/>
      <c r="J248" s="111">
        <f t="shared" si="26"/>
        <v>8473377</v>
      </c>
      <c r="K248" s="210" t="s">
        <v>5213</v>
      </c>
      <c r="L248" s="82">
        <v>1065000000</v>
      </c>
      <c r="M248" s="82">
        <v>666000000</v>
      </c>
      <c r="N248" s="215">
        <f t="shared" si="27"/>
        <v>1731000000</v>
      </c>
      <c r="O248" s="111">
        <f t="shared" ref="O248:P252" si="29">M248-M247</f>
        <v>5343230</v>
      </c>
      <c r="P248" s="111">
        <f t="shared" si="29"/>
        <v>13816607</v>
      </c>
      <c r="Q248" s="224">
        <v>0</v>
      </c>
    </row>
    <row r="249" spans="9:19">
      <c r="I249" s="210"/>
      <c r="J249" s="111">
        <f t="shared" si="26"/>
        <v>10753986</v>
      </c>
      <c r="K249" s="210" t="s">
        <v>5214</v>
      </c>
      <c r="L249" s="82">
        <v>1075753986</v>
      </c>
      <c r="M249" s="82">
        <v>672067588</v>
      </c>
      <c r="N249" s="215">
        <f t="shared" si="27"/>
        <v>1747821574</v>
      </c>
      <c r="O249" s="111">
        <f t="shared" si="29"/>
        <v>6067588</v>
      </c>
      <c r="P249" s="111">
        <f t="shared" si="29"/>
        <v>16821574</v>
      </c>
      <c r="Q249" s="224">
        <v>0</v>
      </c>
      <c r="S249" t="s">
        <v>25</v>
      </c>
    </row>
    <row r="250" spans="9:19">
      <c r="I250" s="210"/>
      <c r="J250" s="111">
        <f t="shared" si="26"/>
        <v>15270785</v>
      </c>
      <c r="K250" s="210" t="s">
        <v>5215</v>
      </c>
      <c r="L250" s="82">
        <v>1091024771</v>
      </c>
      <c r="M250" s="82">
        <v>681049309</v>
      </c>
      <c r="N250" s="215">
        <f t="shared" si="27"/>
        <v>1772074080</v>
      </c>
      <c r="O250" s="111">
        <f t="shared" si="29"/>
        <v>8981721</v>
      </c>
      <c r="P250" s="111">
        <f t="shared" si="29"/>
        <v>24252506</v>
      </c>
      <c r="Q250" s="224">
        <v>0</v>
      </c>
    </row>
    <row r="251" spans="9:19">
      <c r="I251" s="210"/>
      <c r="J251" s="111">
        <f t="shared" si="26"/>
        <v>1705015</v>
      </c>
      <c r="K251" s="210" t="s">
        <v>5216</v>
      </c>
      <c r="L251" s="82">
        <v>1092729786</v>
      </c>
      <c r="M251" s="82">
        <v>682978385</v>
      </c>
      <c r="N251" s="215">
        <f t="shared" si="27"/>
        <v>1775708171</v>
      </c>
      <c r="O251" s="111">
        <f t="shared" si="29"/>
        <v>1929076</v>
      </c>
      <c r="P251" s="111">
        <f t="shared" si="29"/>
        <v>3634091</v>
      </c>
      <c r="Q251" s="224">
        <v>0</v>
      </c>
    </row>
    <row r="252" spans="9:19">
      <c r="I252" s="210"/>
      <c r="J252" s="111">
        <f t="shared" si="26"/>
        <v>14159318</v>
      </c>
      <c r="K252" s="210" t="s">
        <v>4500</v>
      </c>
      <c r="L252" s="82">
        <v>1106889104</v>
      </c>
      <c r="M252" s="82">
        <v>692405112</v>
      </c>
      <c r="N252" s="215">
        <f t="shared" si="27"/>
        <v>1799294216</v>
      </c>
      <c r="O252" s="111">
        <f t="shared" si="29"/>
        <v>9426727</v>
      </c>
      <c r="P252" s="111">
        <f t="shared" si="29"/>
        <v>23586045</v>
      </c>
      <c r="Q252" s="224">
        <v>0</v>
      </c>
    </row>
    <row r="253" spans="9:19">
      <c r="I253" s="210"/>
      <c r="J253" s="111">
        <f t="shared" ref="J253:J266" si="30">L253-L252</f>
        <v>6991706</v>
      </c>
      <c r="K253" s="210" t="s">
        <v>5217</v>
      </c>
      <c r="L253" s="82">
        <v>1113880810</v>
      </c>
      <c r="M253" s="82">
        <v>698734609</v>
      </c>
      <c r="N253" s="215">
        <f t="shared" ref="N253:N266" si="31">L253+M253</f>
        <v>1812615419</v>
      </c>
      <c r="O253" s="111">
        <f t="shared" ref="O253:O266" si="32">M253-M252</f>
        <v>6329497</v>
      </c>
      <c r="P253" s="111">
        <f t="shared" ref="P253:P266" si="33">N253-N252</f>
        <v>13321203</v>
      </c>
      <c r="Q253" s="224">
        <v>0</v>
      </c>
    </row>
    <row r="254" spans="9:19">
      <c r="I254" s="210"/>
      <c r="J254" s="111">
        <f t="shared" si="30"/>
        <v>35275510</v>
      </c>
      <c r="K254" s="210" t="s">
        <v>5218</v>
      </c>
      <c r="L254" s="82">
        <v>1149156320</v>
      </c>
      <c r="M254" s="82">
        <v>720722148</v>
      </c>
      <c r="N254" s="215">
        <f t="shared" si="31"/>
        <v>1869878468</v>
      </c>
      <c r="O254" s="111">
        <f t="shared" si="32"/>
        <v>21987539</v>
      </c>
      <c r="P254" s="111">
        <f t="shared" si="33"/>
        <v>57263049</v>
      </c>
      <c r="Q254" s="224">
        <v>0</v>
      </c>
    </row>
    <row r="255" spans="9:19">
      <c r="I255" s="210"/>
      <c r="J255" s="111">
        <f t="shared" si="30"/>
        <v>5790605</v>
      </c>
      <c r="K255" s="210" t="s">
        <v>5219</v>
      </c>
      <c r="L255" s="82">
        <v>1154946925</v>
      </c>
      <c r="M255" s="82">
        <v>724493233</v>
      </c>
      <c r="N255" s="215">
        <f t="shared" si="31"/>
        <v>1879440158</v>
      </c>
      <c r="O255" s="111">
        <f t="shared" si="32"/>
        <v>3771085</v>
      </c>
      <c r="P255" s="111">
        <f t="shared" si="33"/>
        <v>9561690</v>
      </c>
      <c r="Q255" s="224">
        <v>0</v>
      </c>
    </row>
    <row r="256" spans="9:19">
      <c r="I256" s="210" t="s">
        <v>5220</v>
      </c>
      <c r="J256" s="111">
        <f t="shared" si="30"/>
        <v>40761008</v>
      </c>
      <c r="K256" s="210" t="s">
        <v>5221</v>
      </c>
      <c r="L256" s="82">
        <v>1195707933</v>
      </c>
      <c r="M256" s="82">
        <v>764225161</v>
      </c>
      <c r="N256" s="215">
        <f t="shared" si="31"/>
        <v>1959933094</v>
      </c>
      <c r="O256" s="111">
        <f>M256-M255-18000000</f>
        <v>21731928</v>
      </c>
      <c r="P256" s="111">
        <f>N256-N255-18000000</f>
        <v>62492936</v>
      </c>
      <c r="Q256" s="224">
        <v>18000000</v>
      </c>
    </row>
    <row r="257" spans="9:19">
      <c r="I257" s="210"/>
      <c r="J257" s="111">
        <f t="shared" si="30"/>
        <v>8689599</v>
      </c>
      <c r="K257" s="210" t="s">
        <v>5223</v>
      </c>
      <c r="L257" s="82">
        <v>1204397532</v>
      </c>
      <c r="M257" s="82">
        <v>768290500</v>
      </c>
      <c r="N257" s="215">
        <f t="shared" si="31"/>
        <v>1972688032</v>
      </c>
      <c r="O257" s="111">
        <f t="shared" si="32"/>
        <v>4065339</v>
      </c>
      <c r="P257" s="111">
        <f t="shared" si="33"/>
        <v>12754938</v>
      </c>
      <c r="Q257" s="224">
        <v>0</v>
      </c>
    </row>
    <row r="258" spans="9:19">
      <c r="I258" s="187" t="s">
        <v>5226</v>
      </c>
      <c r="J258" s="186">
        <f>L258-L257+488602</f>
        <v>5275127</v>
      </c>
      <c r="K258" s="187" t="s">
        <v>5224</v>
      </c>
      <c r="L258" s="232">
        <v>1209184057</v>
      </c>
      <c r="M258" s="232">
        <v>771944660</v>
      </c>
      <c r="N258" s="215">
        <f t="shared" si="31"/>
        <v>1981128717</v>
      </c>
      <c r="O258" s="186">
        <f t="shared" si="32"/>
        <v>3654160</v>
      </c>
      <c r="P258" s="186">
        <f>N258-N257+488602</f>
        <v>8929287</v>
      </c>
      <c r="Q258" s="224">
        <v>-488602</v>
      </c>
    </row>
    <row r="259" spans="9:19">
      <c r="I259" s="210"/>
      <c r="J259" s="111">
        <f t="shared" si="30"/>
        <v>-1457235</v>
      </c>
      <c r="K259" s="210" t="s">
        <v>5225</v>
      </c>
      <c r="L259" s="82">
        <v>1207726822</v>
      </c>
      <c r="M259" s="82">
        <v>769784297</v>
      </c>
      <c r="N259" s="111">
        <f t="shared" si="31"/>
        <v>1977511119</v>
      </c>
      <c r="O259" s="111">
        <f t="shared" si="32"/>
        <v>-2160363</v>
      </c>
      <c r="P259" s="111">
        <f t="shared" si="33"/>
        <v>-3617598</v>
      </c>
      <c r="Q259" s="224">
        <v>0</v>
      </c>
      <c r="S259" t="s">
        <v>25</v>
      </c>
    </row>
    <row r="260" spans="9:19">
      <c r="I260" s="210"/>
      <c r="J260" s="111">
        <f t="shared" si="30"/>
        <v>8817225</v>
      </c>
      <c r="K260" s="210" t="s">
        <v>5228</v>
      </c>
      <c r="L260" s="82">
        <v>1216544047</v>
      </c>
      <c r="M260" s="82">
        <v>776626854</v>
      </c>
      <c r="N260" s="215">
        <f t="shared" si="31"/>
        <v>1993170901</v>
      </c>
      <c r="O260" s="111">
        <f t="shared" si="32"/>
        <v>6842557</v>
      </c>
      <c r="P260" s="111">
        <f t="shared" si="33"/>
        <v>15659782</v>
      </c>
      <c r="Q260" s="224">
        <v>0</v>
      </c>
    </row>
    <row r="261" spans="9:19">
      <c r="I261" s="210"/>
      <c r="J261" s="111">
        <f t="shared" si="30"/>
        <v>-36544047</v>
      </c>
      <c r="K261" s="210" t="s">
        <v>5233</v>
      </c>
      <c r="L261" s="82">
        <v>1180000000</v>
      </c>
      <c r="M261" s="82">
        <v>756000000</v>
      </c>
      <c r="N261" s="111">
        <f t="shared" si="31"/>
        <v>1936000000</v>
      </c>
      <c r="O261" s="111">
        <f t="shared" si="32"/>
        <v>-20626854</v>
      </c>
      <c r="P261" s="111">
        <f t="shared" si="33"/>
        <v>-57170901</v>
      </c>
      <c r="Q261" s="224">
        <v>0</v>
      </c>
    </row>
    <row r="262" spans="9:19">
      <c r="I262" s="210"/>
      <c r="J262" s="111">
        <f t="shared" si="30"/>
        <v>-26566965</v>
      </c>
      <c r="K262" s="210" t="s">
        <v>5239</v>
      </c>
      <c r="L262" s="82">
        <v>1153433035</v>
      </c>
      <c r="M262" s="82">
        <v>736240181</v>
      </c>
      <c r="N262" s="111">
        <f t="shared" si="31"/>
        <v>1889673216</v>
      </c>
      <c r="O262" s="111">
        <f t="shared" si="32"/>
        <v>-19759819</v>
      </c>
      <c r="P262" s="111">
        <f t="shared" si="33"/>
        <v>-46326784</v>
      </c>
      <c r="Q262" s="224">
        <v>0</v>
      </c>
    </row>
    <row r="263" spans="9:19">
      <c r="I263" s="213" t="s">
        <v>5241</v>
      </c>
      <c r="J263" s="239">
        <f>L263-L262-360000</f>
        <v>-33793035</v>
      </c>
      <c r="K263" s="213" t="s">
        <v>5240</v>
      </c>
      <c r="L263" s="240">
        <v>1120000000</v>
      </c>
      <c r="M263" s="240">
        <v>718000000</v>
      </c>
      <c r="N263" s="239">
        <f t="shared" si="31"/>
        <v>1838000000</v>
      </c>
      <c r="O263" s="239">
        <f t="shared" si="32"/>
        <v>-18240181</v>
      </c>
      <c r="P263" s="239">
        <f>N263-N262-360000</f>
        <v>-52033216</v>
      </c>
      <c r="Q263" s="224">
        <v>360000</v>
      </c>
      <c r="S263" t="s">
        <v>25</v>
      </c>
    </row>
    <row r="264" spans="9:19">
      <c r="I264" s="210"/>
      <c r="J264" s="111">
        <f t="shared" si="30"/>
        <v>-23994521</v>
      </c>
      <c r="K264" s="210" t="s">
        <v>5242</v>
      </c>
      <c r="L264" s="82">
        <v>1096005479</v>
      </c>
      <c r="M264" s="82">
        <v>699253755</v>
      </c>
      <c r="N264" s="111">
        <f t="shared" si="31"/>
        <v>1795259234</v>
      </c>
      <c r="O264" s="111">
        <f t="shared" si="32"/>
        <v>-18746245</v>
      </c>
      <c r="P264" s="111">
        <f t="shared" si="33"/>
        <v>-42740766</v>
      </c>
      <c r="Q264" s="224">
        <v>0</v>
      </c>
    </row>
    <row r="265" spans="9:19">
      <c r="I265" s="210"/>
      <c r="J265" s="111">
        <f t="shared" si="30"/>
        <v>20648865</v>
      </c>
      <c r="K265" s="210" t="s">
        <v>5245</v>
      </c>
      <c r="L265" s="82">
        <v>1116654344</v>
      </c>
      <c r="M265" s="82">
        <v>712202921</v>
      </c>
      <c r="N265" s="111">
        <f t="shared" si="31"/>
        <v>1828857265</v>
      </c>
      <c r="O265" s="111">
        <f t="shared" si="32"/>
        <v>12949166</v>
      </c>
      <c r="P265" s="111">
        <f t="shared" si="33"/>
        <v>33598031</v>
      </c>
      <c r="Q265" s="224">
        <v>0</v>
      </c>
    </row>
    <row r="266" spans="9:19">
      <c r="I266" s="210"/>
      <c r="J266" s="111">
        <f t="shared" si="30"/>
        <v>54939743</v>
      </c>
      <c r="K266" s="210" t="s">
        <v>5246</v>
      </c>
      <c r="L266" s="82">
        <v>1171594087</v>
      </c>
      <c r="M266" s="82">
        <v>747327095</v>
      </c>
      <c r="N266" s="111">
        <f t="shared" si="31"/>
        <v>1918921182</v>
      </c>
      <c r="O266" s="111">
        <f t="shared" si="32"/>
        <v>35124174</v>
      </c>
      <c r="P266" s="111">
        <f t="shared" si="33"/>
        <v>90063917</v>
      </c>
      <c r="Q266" s="224">
        <v>0</v>
      </c>
      <c r="S266" t="s">
        <v>25</v>
      </c>
    </row>
    <row r="267" spans="9:19">
      <c r="I267" s="210"/>
      <c r="J267" s="111">
        <f t="shared" ref="J267:J281" si="34">L267-L266</f>
        <v>52738541</v>
      </c>
      <c r="K267" s="210" t="s">
        <v>5247</v>
      </c>
      <c r="L267" s="82">
        <v>1224332628</v>
      </c>
      <c r="M267" s="82">
        <v>781297921</v>
      </c>
      <c r="N267" s="215">
        <f t="shared" ref="N267:N281" si="35">L267+M267</f>
        <v>2005630549</v>
      </c>
      <c r="O267" s="111">
        <f t="shared" ref="O267:O281" si="36">M267-M266</f>
        <v>33970826</v>
      </c>
      <c r="P267" s="111">
        <f>N267-N266</f>
        <v>86709367</v>
      </c>
      <c r="Q267" s="224">
        <v>0</v>
      </c>
    </row>
    <row r="268" spans="9:19">
      <c r="I268" s="187" t="s">
        <v>5250</v>
      </c>
      <c r="J268" s="186">
        <f>L268-L267+3600000</f>
        <v>6784521</v>
      </c>
      <c r="K268" s="187" t="s">
        <v>5248</v>
      </c>
      <c r="L268" s="232">
        <v>1227517149</v>
      </c>
      <c r="M268" s="232">
        <v>781946723</v>
      </c>
      <c r="N268" s="215">
        <f>L268+M268</f>
        <v>2009463872</v>
      </c>
      <c r="O268" s="186">
        <f t="shared" si="36"/>
        <v>648802</v>
      </c>
      <c r="P268" s="186">
        <f>N268-N267+3600000</f>
        <v>7433323</v>
      </c>
      <c r="Q268" s="224">
        <v>-3600000</v>
      </c>
    </row>
    <row r="269" spans="9:19">
      <c r="I269" s="213" t="s">
        <v>5252</v>
      </c>
      <c r="J269" s="239">
        <f t="shared" si="34"/>
        <v>8668842</v>
      </c>
      <c r="K269" s="213" t="s">
        <v>5249</v>
      </c>
      <c r="L269" s="240">
        <v>1236185991</v>
      </c>
      <c r="M269" s="240">
        <v>790935464</v>
      </c>
      <c r="N269" s="215">
        <f t="shared" si="35"/>
        <v>2027121455</v>
      </c>
      <c r="O269" s="239">
        <f>M269-M268-2000000</f>
        <v>6988741</v>
      </c>
      <c r="P269" s="239">
        <f>N269-N268-2000000</f>
        <v>15657583</v>
      </c>
      <c r="Q269" s="224">
        <v>2000000</v>
      </c>
    </row>
    <row r="270" spans="9:19">
      <c r="I270" s="210"/>
      <c r="J270" s="111">
        <f t="shared" si="34"/>
        <v>59400386</v>
      </c>
      <c r="K270" s="210" t="s">
        <v>5254</v>
      </c>
      <c r="L270" s="82">
        <v>1295586377</v>
      </c>
      <c r="M270" s="82">
        <v>830602955</v>
      </c>
      <c r="N270" s="215">
        <f t="shared" si="35"/>
        <v>2126189332</v>
      </c>
      <c r="O270" s="111">
        <f t="shared" si="36"/>
        <v>39667491</v>
      </c>
      <c r="P270" s="111">
        <f>N270-N269</f>
        <v>99067877</v>
      </c>
      <c r="Q270" s="224">
        <v>0</v>
      </c>
    </row>
    <row r="271" spans="9:19">
      <c r="I271" s="187" t="s">
        <v>5256</v>
      </c>
      <c r="J271" s="186">
        <f>L271-L270+1000000</f>
        <v>21062163</v>
      </c>
      <c r="K271" s="187" t="s">
        <v>5255</v>
      </c>
      <c r="L271" s="232">
        <v>1315648540</v>
      </c>
      <c r="M271" s="232">
        <v>837889920</v>
      </c>
      <c r="N271" s="215">
        <f t="shared" si="35"/>
        <v>2153538460</v>
      </c>
      <c r="O271" s="186">
        <f t="shared" si="36"/>
        <v>7286965</v>
      </c>
      <c r="P271" s="186">
        <f>N271-N270+1000000</f>
        <v>28349128</v>
      </c>
      <c r="Q271" s="224">
        <v>-1000000</v>
      </c>
    </row>
    <row r="272" spans="9:19">
      <c r="I272" s="210"/>
      <c r="J272" s="111">
        <f t="shared" si="34"/>
        <v>-25648540</v>
      </c>
      <c r="K272" s="210" t="s">
        <v>5258</v>
      </c>
      <c r="L272" s="82">
        <v>1290000000</v>
      </c>
      <c r="M272" s="82">
        <v>830000000</v>
      </c>
      <c r="N272" s="111">
        <f t="shared" si="35"/>
        <v>2120000000</v>
      </c>
      <c r="O272" s="111">
        <f t="shared" si="36"/>
        <v>-7889920</v>
      </c>
      <c r="P272" s="111">
        <f>N272-N271</f>
        <v>-33538460</v>
      </c>
    </row>
    <row r="273" spans="4:23">
      <c r="I273" s="210"/>
      <c r="J273" s="111">
        <f t="shared" si="34"/>
        <v>5173477</v>
      </c>
      <c r="K273" s="210" t="s">
        <v>5261</v>
      </c>
      <c r="L273" s="82">
        <v>1295173477</v>
      </c>
      <c r="M273" s="82">
        <v>832119130</v>
      </c>
      <c r="N273" s="111">
        <f t="shared" si="35"/>
        <v>2127292607</v>
      </c>
      <c r="O273" s="111">
        <f t="shared" si="36"/>
        <v>2119130</v>
      </c>
      <c r="P273" s="111">
        <f>N273-N272</f>
        <v>7292607</v>
      </c>
    </row>
    <row r="274" spans="4:23">
      <c r="D274" t="s">
        <v>25</v>
      </c>
      <c r="I274" s="213" t="s">
        <v>5241</v>
      </c>
      <c r="J274" s="239">
        <f>L274-L273-360000</f>
        <v>-3379409</v>
      </c>
      <c r="K274" s="213" t="s">
        <v>5262</v>
      </c>
      <c r="L274" s="240">
        <v>1292154068</v>
      </c>
      <c r="M274" s="240">
        <v>833033746</v>
      </c>
      <c r="N274" s="239">
        <f t="shared" si="35"/>
        <v>2125187814</v>
      </c>
      <c r="O274" s="239">
        <f t="shared" si="36"/>
        <v>914616</v>
      </c>
      <c r="P274" s="239">
        <f>N274-N273-360000</f>
        <v>-2464793</v>
      </c>
      <c r="Q274" s="224">
        <v>360000</v>
      </c>
    </row>
    <row r="275" spans="4:23">
      <c r="I275" s="213" t="s">
        <v>5266</v>
      </c>
      <c r="J275" s="239">
        <f>L275-L274-2000000</f>
        <v>-22946012</v>
      </c>
      <c r="K275" s="213" t="s">
        <v>5265</v>
      </c>
      <c r="L275" s="240">
        <v>1271208056</v>
      </c>
      <c r="M275" s="240">
        <v>825161254</v>
      </c>
      <c r="N275" s="239">
        <f t="shared" si="35"/>
        <v>2096369310</v>
      </c>
      <c r="O275" s="239">
        <f t="shared" si="36"/>
        <v>-7872492</v>
      </c>
      <c r="P275" s="239">
        <f>N275-N274-2000000</f>
        <v>-30818504</v>
      </c>
      <c r="Q275" s="224">
        <v>2000000</v>
      </c>
    </row>
    <row r="276" spans="4:23">
      <c r="I276" s="213" t="s">
        <v>5268</v>
      </c>
      <c r="J276" s="239">
        <f>L276-L275-15300000</f>
        <v>32802006</v>
      </c>
      <c r="K276" s="213" t="s">
        <v>5267</v>
      </c>
      <c r="L276" s="240">
        <v>1319310062</v>
      </c>
      <c r="M276" s="240">
        <v>846171439</v>
      </c>
      <c r="N276" s="239">
        <f t="shared" si="35"/>
        <v>2165481501</v>
      </c>
      <c r="O276" s="239">
        <f>M276-M275-200000</f>
        <v>20810185</v>
      </c>
      <c r="P276" s="239">
        <f>N276-N275-15500000</f>
        <v>53612191</v>
      </c>
      <c r="Q276" s="224">
        <v>15500000</v>
      </c>
    </row>
    <row r="277" spans="4:23">
      <c r="I277" s="213" t="s">
        <v>5271</v>
      </c>
      <c r="J277" s="239">
        <f>L277-L276-3000000</f>
        <v>12429762</v>
      </c>
      <c r="K277" s="213" t="s">
        <v>5270</v>
      </c>
      <c r="L277" s="240">
        <v>1334739824</v>
      </c>
      <c r="M277" s="240">
        <v>848815156</v>
      </c>
      <c r="N277" s="215">
        <f t="shared" si="35"/>
        <v>2183554980</v>
      </c>
      <c r="O277" s="239">
        <f>M277-M276-50000</f>
        <v>2593717</v>
      </c>
      <c r="P277" s="239">
        <f>N277-N276-3050000</f>
        <v>15023479</v>
      </c>
      <c r="Q277" s="224">
        <v>3050000</v>
      </c>
    </row>
    <row r="278" spans="4:23">
      <c r="I278" s="213" t="s">
        <v>5273</v>
      </c>
      <c r="J278" s="239">
        <f>L278-L277-1680000</f>
        <v>-15903030</v>
      </c>
      <c r="K278" s="213" t="s">
        <v>5272</v>
      </c>
      <c r="L278" s="240">
        <v>1320516794</v>
      </c>
      <c r="M278" s="240">
        <v>834312363</v>
      </c>
      <c r="N278" s="239">
        <f t="shared" si="35"/>
        <v>2154829157</v>
      </c>
      <c r="O278" s="239">
        <f>M278-M277-100000</f>
        <v>-14602793</v>
      </c>
      <c r="P278" s="239">
        <f>N278-N277-1600000</f>
        <v>-30325823</v>
      </c>
      <c r="Q278" s="224">
        <v>1780000</v>
      </c>
      <c r="S278" t="s">
        <v>25</v>
      </c>
    </row>
    <row r="279" spans="4:23">
      <c r="I279" s="213" t="s">
        <v>5275</v>
      </c>
      <c r="J279" s="239">
        <f>L279-L278-30000000</f>
        <v>3387493</v>
      </c>
      <c r="K279" s="213" t="s">
        <v>5274</v>
      </c>
      <c r="L279" s="240">
        <v>1353904287</v>
      </c>
      <c r="M279" s="240">
        <v>836074409</v>
      </c>
      <c r="N279" s="239">
        <f t="shared" si="35"/>
        <v>2189978696</v>
      </c>
      <c r="O279" s="239">
        <f t="shared" si="36"/>
        <v>1762046</v>
      </c>
      <c r="P279" s="239">
        <f>N279-N278-30000000</f>
        <v>5149539</v>
      </c>
      <c r="Q279" s="224">
        <v>30000000</v>
      </c>
      <c r="S279" t="s">
        <v>25</v>
      </c>
    </row>
    <row r="280" spans="4:23">
      <c r="I280" s="210"/>
      <c r="J280" s="111">
        <f t="shared" si="34"/>
        <v>21498999</v>
      </c>
      <c r="K280" s="210" t="s">
        <v>983</v>
      </c>
      <c r="L280" s="82">
        <v>1375403286</v>
      </c>
      <c r="M280" s="82">
        <v>844014315</v>
      </c>
      <c r="N280" s="215">
        <f t="shared" si="35"/>
        <v>2219417601</v>
      </c>
      <c r="O280" s="111">
        <f t="shared" si="36"/>
        <v>7939906</v>
      </c>
      <c r="P280" s="111">
        <f>N280-N279</f>
        <v>29438905</v>
      </c>
      <c r="Q280" s="224">
        <v>0</v>
      </c>
    </row>
    <row r="281" spans="4:23">
      <c r="G281" s="72" t="s">
        <v>25</v>
      </c>
      <c r="I281" s="210"/>
      <c r="J281" s="111">
        <f t="shared" si="34"/>
        <v>4332272</v>
      </c>
      <c r="K281" s="210" t="s">
        <v>5280</v>
      </c>
      <c r="L281" s="82">
        <v>1379735558</v>
      </c>
      <c r="M281" s="82">
        <v>848557580</v>
      </c>
      <c r="N281" s="215">
        <f t="shared" si="35"/>
        <v>2228293138</v>
      </c>
      <c r="O281" s="111">
        <f t="shared" si="36"/>
        <v>4543265</v>
      </c>
      <c r="P281" s="111">
        <f>N281-N280</f>
        <v>8875537</v>
      </c>
      <c r="Q281" s="224">
        <v>0</v>
      </c>
    </row>
    <row r="282" spans="4:23">
      <c r="I282" s="210"/>
      <c r="J282" s="111">
        <f t="shared" ref="J282:J415" si="37">L282-L281</f>
        <v>29783485</v>
      </c>
      <c r="K282" s="210" t="s">
        <v>5281</v>
      </c>
      <c r="L282" s="82">
        <v>1409519043</v>
      </c>
      <c r="M282" s="82">
        <v>865379346</v>
      </c>
      <c r="N282" s="215">
        <f t="shared" ref="N282:N309" si="38">L282+M282</f>
        <v>2274898389</v>
      </c>
      <c r="O282" s="111">
        <f t="shared" ref="O282:O309" si="39">M282-M281</f>
        <v>16821766</v>
      </c>
      <c r="P282" s="111">
        <f t="shared" ref="P282:P309" si="40">N282-N281</f>
        <v>46605251</v>
      </c>
      <c r="Q282" s="224">
        <v>0</v>
      </c>
    </row>
    <row r="283" spans="4:23">
      <c r="I283" s="210"/>
      <c r="J283" s="111">
        <f t="shared" si="37"/>
        <v>46239300</v>
      </c>
      <c r="K283" s="210" t="s">
        <v>5284</v>
      </c>
      <c r="L283" s="82">
        <v>1455758343</v>
      </c>
      <c r="M283" s="82">
        <v>892393185</v>
      </c>
      <c r="N283" s="215">
        <f t="shared" si="38"/>
        <v>2348151528</v>
      </c>
      <c r="O283" s="111">
        <f t="shared" si="39"/>
        <v>27013839</v>
      </c>
      <c r="P283" s="111">
        <f t="shared" si="40"/>
        <v>73253139</v>
      </c>
      <c r="Q283" s="224">
        <v>0</v>
      </c>
      <c r="W283" t="s">
        <v>25</v>
      </c>
    </row>
    <row r="284" spans="4:23">
      <c r="I284" s="210"/>
      <c r="J284" s="111">
        <f t="shared" si="37"/>
        <v>17681036</v>
      </c>
      <c r="K284" s="210" t="s">
        <v>5287</v>
      </c>
      <c r="L284" s="82">
        <v>1473439379</v>
      </c>
      <c r="M284" s="82">
        <v>906774030</v>
      </c>
      <c r="N284" s="215">
        <f t="shared" si="38"/>
        <v>2380213409</v>
      </c>
      <c r="O284" s="111">
        <f t="shared" si="39"/>
        <v>14380845</v>
      </c>
      <c r="P284" s="111">
        <f t="shared" si="40"/>
        <v>32061881</v>
      </c>
      <c r="Q284" s="224">
        <v>0</v>
      </c>
    </row>
    <row r="285" spans="4:23">
      <c r="I285" s="187" t="s">
        <v>5290</v>
      </c>
      <c r="J285" s="186">
        <f t="shared" si="37"/>
        <v>4331396</v>
      </c>
      <c r="K285" s="187" t="s">
        <v>5288</v>
      </c>
      <c r="L285" s="232">
        <v>1477770775</v>
      </c>
      <c r="M285" s="232">
        <v>915475851</v>
      </c>
      <c r="N285" s="215">
        <f t="shared" si="38"/>
        <v>2393246626</v>
      </c>
      <c r="O285" s="186">
        <f>M285-M284+550000</f>
        <v>9251821</v>
      </c>
      <c r="P285" s="186">
        <f>N285-N284+550000</f>
        <v>13583217</v>
      </c>
      <c r="Q285" s="224">
        <v>-550000</v>
      </c>
    </row>
    <row r="286" spans="4:23">
      <c r="I286" s="187" t="s">
        <v>5294</v>
      </c>
      <c r="J286" s="186">
        <f t="shared" si="37"/>
        <v>39081054</v>
      </c>
      <c r="K286" s="187" t="s">
        <v>5292</v>
      </c>
      <c r="L286" s="232">
        <v>1516851829</v>
      </c>
      <c r="M286" s="232">
        <v>905126712</v>
      </c>
      <c r="N286" s="215">
        <f t="shared" si="38"/>
        <v>2421978541</v>
      </c>
      <c r="O286" s="186">
        <f>M286-M285+29686490</f>
        <v>19337351</v>
      </c>
      <c r="P286" s="186">
        <f>N286-N285+29686490</f>
        <v>58418405</v>
      </c>
      <c r="Q286" s="224">
        <v>-29686490</v>
      </c>
    </row>
    <row r="287" spans="4:23">
      <c r="I287" s="210"/>
      <c r="J287" s="111">
        <f t="shared" si="37"/>
        <v>43584276</v>
      </c>
      <c r="K287" s="210" t="s">
        <v>5293</v>
      </c>
      <c r="L287" s="82">
        <v>1560436105</v>
      </c>
      <c r="M287" s="82">
        <v>940791901</v>
      </c>
      <c r="N287" s="215">
        <f t="shared" si="38"/>
        <v>2501228006</v>
      </c>
      <c r="O287" s="111">
        <f t="shared" si="39"/>
        <v>35665189</v>
      </c>
      <c r="P287" s="111">
        <f t="shared" si="40"/>
        <v>79249465</v>
      </c>
      <c r="Q287" s="224">
        <v>0</v>
      </c>
    </row>
    <row r="288" spans="4:23">
      <c r="I288" s="187" t="s">
        <v>5302</v>
      </c>
      <c r="J288" s="186">
        <f t="shared" si="37"/>
        <v>83455296</v>
      </c>
      <c r="K288" s="187" t="s">
        <v>5301</v>
      </c>
      <c r="L288" s="232">
        <v>1643891401</v>
      </c>
      <c r="M288" s="232">
        <v>982283411</v>
      </c>
      <c r="N288" s="215">
        <f t="shared" si="38"/>
        <v>2626174812</v>
      </c>
      <c r="O288" s="186">
        <f>M288-M287+9000000</f>
        <v>50491510</v>
      </c>
      <c r="P288" s="186">
        <f>N288-N287+9000000</f>
        <v>133946806</v>
      </c>
      <c r="Q288" s="224">
        <v>-9000000</v>
      </c>
      <c r="V288" t="s">
        <v>25</v>
      </c>
    </row>
    <row r="289" spans="9:21">
      <c r="I289" s="210"/>
      <c r="J289" s="111">
        <f t="shared" si="37"/>
        <v>-564040</v>
      </c>
      <c r="K289" s="210" t="s">
        <v>5304</v>
      </c>
      <c r="L289" s="82">
        <v>1643327361</v>
      </c>
      <c r="M289" s="82">
        <v>994154099</v>
      </c>
      <c r="N289" s="215">
        <f t="shared" si="38"/>
        <v>2637481460</v>
      </c>
      <c r="O289" s="111">
        <f t="shared" si="39"/>
        <v>11870688</v>
      </c>
      <c r="P289" s="111">
        <f t="shared" si="40"/>
        <v>11306648</v>
      </c>
      <c r="Q289" s="224">
        <v>0</v>
      </c>
    </row>
    <row r="290" spans="9:21">
      <c r="I290" s="210"/>
      <c r="J290" s="111">
        <f t="shared" si="37"/>
        <v>36636239</v>
      </c>
      <c r="K290" s="210" t="s">
        <v>5308</v>
      </c>
      <c r="L290" s="82">
        <v>1679963600</v>
      </c>
      <c r="M290" s="82">
        <v>1007339950</v>
      </c>
      <c r="N290" s="215">
        <f t="shared" si="38"/>
        <v>2687303550</v>
      </c>
      <c r="O290" s="111">
        <f>M290-M289</f>
        <v>13185851</v>
      </c>
      <c r="P290" s="111">
        <f t="shared" si="40"/>
        <v>49822090</v>
      </c>
      <c r="Q290" s="224">
        <v>0</v>
      </c>
    </row>
    <row r="291" spans="9:21">
      <c r="I291" s="210"/>
      <c r="J291" s="111">
        <f t="shared" si="37"/>
        <v>53600320</v>
      </c>
      <c r="K291" s="210" t="s">
        <v>5314</v>
      </c>
      <c r="L291" s="82">
        <v>1733563920</v>
      </c>
      <c r="M291" s="82">
        <v>1028479912</v>
      </c>
      <c r="N291" s="215">
        <f t="shared" si="38"/>
        <v>2762043832</v>
      </c>
      <c r="O291" s="111">
        <f t="shared" si="39"/>
        <v>21139962</v>
      </c>
      <c r="P291" s="111">
        <f t="shared" si="40"/>
        <v>74740282</v>
      </c>
      <c r="Q291" s="224">
        <v>0</v>
      </c>
    </row>
    <row r="292" spans="9:21">
      <c r="I292" s="210"/>
      <c r="J292" s="111">
        <f t="shared" si="37"/>
        <v>16436080</v>
      </c>
      <c r="K292" s="210" t="s">
        <v>5323</v>
      </c>
      <c r="L292" s="82">
        <v>1750000000</v>
      </c>
      <c r="M292" s="82">
        <v>1035000000</v>
      </c>
      <c r="N292" s="215">
        <f t="shared" si="38"/>
        <v>2785000000</v>
      </c>
      <c r="O292" s="111">
        <f t="shared" si="39"/>
        <v>6520088</v>
      </c>
      <c r="P292" s="111">
        <f t="shared" si="40"/>
        <v>22956168</v>
      </c>
      <c r="Q292" s="224">
        <v>0</v>
      </c>
      <c r="U292" t="s">
        <v>25</v>
      </c>
    </row>
    <row r="293" spans="9:21">
      <c r="I293" s="210"/>
      <c r="J293" s="111">
        <f t="shared" si="37"/>
        <v>10000000</v>
      </c>
      <c r="K293" s="210" t="s">
        <v>5346</v>
      </c>
      <c r="L293" s="82">
        <v>1760000000</v>
      </c>
      <c r="M293" s="82">
        <v>1045000000</v>
      </c>
      <c r="N293" s="215">
        <f t="shared" si="38"/>
        <v>2805000000</v>
      </c>
      <c r="O293" s="111">
        <f t="shared" si="39"/>
        <v>10000000</v>
      </c>
      <c r="P293" s="111">
        <f t="shared" si="40"/>
        <v>20000000</v>
      </c>
      <c r="Q293" s="224">
        <v>0</v>
      </c>
    </row>
    <row r="294" spans="9:21">
      <c r="I294" s="210"/>
      <c r="J294" s="111">
        <f t="shared" si="37"/>
        <v>15456973</v>
      </c>
      <c r="K294" s="210" t="s">
        <v>5345</v>
      </c>
      <c r="L294" s="82">
        <v>1775456973</v>
      </c>
      <c r="M294" s="82">
        <v>1056375788</v>
      </c>
      <c r="N294" s="215">
        <f t="shared" si="38"/>
        <v>2831832761</v>
      </c>
      <c r="O294" s="111">
        <f t="shared" si="39"/>
        <v>11375788</v>
      </c>
      <c r="P294" s="111">
        <f t="shared" si="40"/>
        <v>26832761</v>
      </c>
      <c r="Q294" s="224">
        <v>0</v>
      </c>
    </row>
    <row r="295" spans="9:21">
      <c r="I295" s="210" t="s">
        <v>5355</v>
      </c>
      <c r="J295" s="111">
        <f>L295-L294-3000000</f>
        <v>19422686</v>
      </c>
      <c r="K295" s="210" t="s">
        <v>5349</v>
      </c>
      <c r="L295" s="82">
        <v>1797879659</v>
      </c>
      <c r="M295" s="82">
        <v>1054864328</v>
      </c>
      <c r="N295" s="215">
        <f t="shared" si="38"/>
        <v>2852743987</v>
      </c>
      <c r="O295" s="111">
        <f t="shared" si="39"/>
        <v>-1511460</v>
      </c>
      <c r="P295" s="111">
        <f>N295-N294-3000000</f>
        <v>17911226</v>
      </c>
      <c r="Q295" s="224">
        <v>3000000</v>
      </c>
    </row>
    <row r="296" spans="9:21">
      <c r="I296" s="213" t="s">
        <v>5356</v>
      </c>
      <c r="J296" s="239">
        <f>L296-L295-7000000</f>
        <v>-47124934</v>
      </c>
      <c r="K296" s="213" t="s">
        <v>5350</v>
      </c>
      <c r="L296" s="240">
        <v>1757754725</v>
      </c>
      <c r="M296" s="240">
        <v>1037677810</v>
      </c>
      <c r="N296" s="239">
        <f t="shared" si="38"/>
        <v>2795432535</v>
      </c>
      <c r="O296" s="239">
        <f>M296-M295+4190000</f>
        <v>-12996518</v>
      </c>
      <c r="P296" s="239">
        <f>N296-N295+4190000-7000000</f>
        <v>-60121452</v>
      </c>
      <c r="Q296" s="224">
        <v>2810000</v>
      </c>
    </row>
    <row r="297" spans="9:21">
      <c r="I297" s="213" t="s">
        <v>5365</v>
      </c>
      <c r="J297" s="239">
        <f t="shared" si="37"/>
        <v>-53501669</v>
      </c>
      <c r="K297" s="213" t="s">
        <v>5358</v>
      </c>
      <c r="L297" s="240">
        <v>1704253056</v>
      </c>
      <c r="M297" s="240">
        <v>973497834</v>
      </c>
      <c r="N297" s="239">
        <f t="shared" si="38"/>
        <v>2677750890</v>
      </c>
      <c r="O297" s="239">
        <f>M297-M296+26000000</f>
        <v>-38179976</v>
      </c>
      <c r="P297" s="239">
        <f>N297-N296+26000000</f>
        <v>-91681645</v>
      </c>
      <c r="Q297" s="224">
        <v>-26000000</v>
      </c>
    </row>
    <row r="298" spans="9:21">
      <c r="I298" s="213" t="s">
        <v>5367</v>
      </c>
      <c r="J298" s="239">
        <f>L298-L297-8800000</f>
        <v>26691445</v>
      </c>
      <c r="K298" s="213" t="s">
        <v>5363</v>
      </c>
      <c r="L298" s="240">
        <v>1739744501</v>
      </c>
      <c r="M298" s="240">
        <v>914540569</v>
      </c>
      <c r="N298" s="239">
        <f t="shared" si="38"/>
        <v>2654285070</v>
      </c>
      <c r="O298" s="239">
        <f>M298-M297+81800000</f>
        <v>22842735</v>
      </c>
      <c r="P298" s="239">
        <f>N298-N297+73000000</f>
        <v>49534180</v>
      </c>
      <c r="Q298" s="224">
        <v>-73000000</v>
      </c>
    </row>
    <row r="299" spans="9:21">
      <c r="I299" s="213" t="s">
        <v>5370</v>
      </c>
      <c r="J299" s="239">
        <f t="shared" si="37"/>
        <v>32696702</v>
      </c>
      <c r="K299" s="213" t="s">
        <v>5364</v>
      </c>
      <c r="L299" s="240">
        <v>1772441203</v>
      </c>
      <c r="M299" s="240">
        <v>900025831</v>
      </c>
      <c r="N299" s="239">
        <f t="shared" si="38"/>
        <v>2672467034</v>
      </c>
      <c r="O299" s="239">
        <f>M299-M298+34000000</f>
        <v>19485262</v>
      </c>
      <c r="P299" s="239">
        <f>N299-N298+34000000</f>
        <v>52181964</v>
      </c>
      <c r="Q299" s="224">
        <v>-34000000</v>
      </c>
    </row>
    <row r="300" spans="9:21">
      <c r="I300" s="187" t="s">
        <v>5372</v>
      </c>
      <c r="J300" s="186">
        <f>L300-L299-40000000</f>
        <v>74215198</v>
      </c>
      <c r="K300" s="187" t="s">
        <v>5368</v>
      </c>
      <c r="L300" s="232">
        <v>1886656401</v>
      </c>
      <c r="M300" s="232">
        <v>937495623</v>
      </c>
      <c r="N300" s="215">
        <f t="shared" si="38"/>
        <v>2824152024</v>
      </c>
      <c r="O300" s="186">
        <f t="shared" si="39"/>
        <v>37469792</v>
      </c>
      <c r="P300" s="186">
        <f>N300-N299-40000000</f>
        <v>111684990</v>
      </c>
      <c r="Q300" s="224">
        <v>40000000</v>
      </c>
      <c r="S300" t="s">
        <v>25</v>
      </c>
      <c r="T300" t="s">
        <v>25</v>
      </c>
    </row>
    <row r="301" spans="9:21">
      <c r="I301" s="187" t="s">
        <v>5178</v>
      </c>
      <c r="J301" s="186">
        <f t="shared" si="37"/>
        <v>39912599</v>
      </c>
      <c r="K301" s="187" t="s">
        <v>5369</v>
      </c>
      <c r="L301" s="232">
        <v>1926569000</v>
      </c>
      <c r="M301" s="232">
        <v>959442000</v>
      </c>
      <c r="N301" s="215">
        <f t="shared" si="38"/>
        <v>2886011000</v>
      </c>
      <c r="O301" s="186">
        <f>M301-M300-300000</f>
        <v>21646377</v>
      </c>
      <c r="P301" s="186">
        <f>N301-N300-300000</f>
        <v>61558976</v>
      </c>
      <c r="Q301" s="224">
        <v>300000</v>
      </c>
    </row>
    <row r="302" spans="9:21">
      <c r="I302" s="187" t="s">
        <v>5378</v>
      </c>
      <c r="J302" s="186">
        <f t="shared" si="37"/>
        <v>-55865388</v>
      </c>
      <c r="K302" s="187" t="s">
        <v>5377</v>
      </c>
      <c r="L302" s="232">
        <v>1870703612</v>
      </c>
      <c r="M302" s="232">
        <v>925667252</v>
      </c>
      <c r="N302" s="186">
        <f t="shared" si="38"/>
        <v>2796370864</v>
      </c>
      <c r="O302" s="186">
        <f>M302-M301-1000000</f>
        <v>-34774748</v>
      </c>
      <c r="P302" s="186">
        <f>N302-N301-1000000</f>
        <v>-90640136</v>
      </c>
      <c r="Q302" s="224">
        <v>1000000</v>
      </c>
    </row>
    <row r="303" spans="9:21">
      <c r="I303" s="210"/>
      <c r="J303" s="111">
        <f t="shared" si="37"/>
        <v>-97273791</v>
      </c>
      <c r="K303" s="210" t="s">
        <v>5380</v>
      </c>
      <c r="L303" s="82">
        <v>1773429821</v>
      </c>
      <c r="M303" s="82">
        <v>878782830</v>
      </c>
      <c r="N303" s="111">
        <f t="shared" si="38"/>
        <v>2652212651</v>
      </c>
      <c r="O303" s="111">
        <f t="shared" si="39"/>
        <v>-46884422</v>
      </c>
      <c r="P303" s="111">
        <f t="shared" si="40"/>
        <v>-144158213</v>
      </c>
      <c r="Q303" s="224">
        <v>0</v>
      </c>
    </row>
    <row r="304" spans="9:21">
      <c r="I304" s="210" t="s">
        <v>25</v>
      </c>
      <c r="J304" s="111">
        <f t="shared" si="37"/>
        <v>-429821</v>
      </c>
      <c r="K304" s="210" t="s">
        <v>5382</v>
      </c>
      <c r="L304" s="82">
        <v>1773000000</v>
      </c>
      <c r="M304" s="82">
        <v>879000000</v>
      </c>
      <c r="N304" s="111">
        <f t="shared" si="38"/>
        <v>2652000000</v>
      </c>
      <c r="O304" s="111">
        <f t="shared" si="39"/>
        <v>217170</v>
      </c>
      <c r="P304" s="111">
        <f t="shared" si="40"/>
        <v>-212651</v>
      </c>
      <c r="Q304" s="224">
        <v>0</v>
      </c>
    </row>
    <row r="305" spans="9:17">
      <c r="I305" s="210" t="s">
        <v>5384</v>
      </c>
      <c r="J305" s="111">
        <f>L305-L304-400000</f>
        <v>-400000</v>
      </c>
      <c r="K305" s="210" t="s">
        <v>5383</v>
      </c>
      <c r="L305" s="82">
        <v>1773000000</v>
      </c>
      <c r="M305" s="82">
        <v>879000000</v>
      </c>
      <c r="N305" s="111">
        <f t="shared" si="38"/>
        <v>2652000000</v>
      </c>
      <c r="O305" s="111">
        <f>M305-M304-400000</f>
        <v>-400000</v>
      </c>
      <c r="P305" s="111">
        <f>N305-N304-800000</f>
        <v>-800000</v>
      </c>
      <c r="Q305" s="224">
        <v>800000</v>
      </c>
    </row>
    <row r="306" spans="9:17">
      <c r="I306" s="210"/>
      <c r="J306" s="111">
        <f t="shared" si="37"/>
        <v>-186924808</v>
      </c>
      <c r="K306" s="210" t="s">
        <v>5390</v>
      </c>
      <c r="L306" s="82">
        <v>1586075192</v>
      </c>
      <c r="M306" s="82">
        <v>781102872</v>
      </c>
      <c r="N306" s="111">
        <f t="shared" si="38"/>
        <v>2367178064</v>
      </c>
      <c r="O306" s="111">
        <f t="shared" si="39"/>
        <v>-97897128</v>
      </c>
      <c r="P306" s="111">
        <f t="shared" si="40"/>
        <v>-284821936</v>
      </c>
      <c r="Q306" s="224">
        <v>0</v>
      </c>
    </row>
    <row r="307" spans="9:17">
      <c r="I307" s="210"/>
      <c r="J307" s="111">
        <f t="shared" si="37"/>
        <v>41531186</v>
      </c>
      <c r="K307" s="210" t="s">
        <v>5403</v>
      </c>
      <c r="L307" s="82">
        <v>1627606378</v>
      </c>
      <c r="M307" s="82">
        <v>802901457</v>
      </c>
      <c r="N307" s="111">
        <f t="shared" si="38"/>
        <v>2430507835</v>
      </c>
      <c r="O307" s="111">
        <f t="shared" si="39"/>
        <v>21798585</v>
      </c>
      <c r="P307" s="111">
        <f t="shared" si="40"/>
        <v>63329771</v>
      </c>
      <c r="Q307" s="224">
        <v>0</v>
      </c>
    </row>
    <row r="308" spans="9:17">
      <c r="I308" s="210" t="s">
        <v>5405</v>
      </c>
      <c r="J308" s="111">
        <f>L308-L307+968000</f>
        <v>30858637</v>
      </c>
      <c r="K308" s="210" t="s">
        <v>5404</v>
      </c>
      <c r="L308" s="82">
        <v>1657497015</v>
      </c>
      <c r="M308" s="82">
        <v>821645954</v>
      </c>
      <c r="N308" s="111">
        <f t="shared" si="38"/>
        <v>2479142969</v>
      </c>
      <c r="O308" s="111">
        <f t="shared" si="39"/>
        <v>18744497</v>
      </c>
      <c r="P308" s="111">
        <f>N308-N307+968000</f>
        <v>49603134</v>
      </c>
      <c r="Q308" s="224">
        <v>-968000</v>
      </c>
    </row>
    <row r="309" spans="9:17">
      <c r="I309" s="210"/>
      <c r="J309" s="111">
        <f t="shared" si="37"/>
        <v>48059361</v>
      </c>
      <c r="K309" s="210" t="s">
        <v>5406</v>
      </c>
      <c r="L309" s="82">
        <v>1705556376</v>
      </c>
      <c r="M309" s="82">
        <v>850233025</v>
      </c>
      <c r="N309" s="111">
        <f t="shared" si="38"/>
        <v>2555789401</v>
      </c>
      <c r="O309" s="111">
        <f t="shared" si="39"/>
        <v>28587071</v>
      </c>
      <c r="P309" s="111">
        <f t="shared" si="40"/>
        <v>76646432</v>
      </c>
      <c r="Q309" s="224">
        <v>0</v>
      </c>
    </row>
    <row r="310" spans="9:17">
      <c r="I310" s="210"/>
      <c r="J310" s="111">
        <f t="shared" si="37"/>
        <v>59443624</v>
      </c>
      <c r="K310" s="210" t="s">
        <v>5407</v>
      </c>
      <c r="L310" s="82">
        <v>1765000000</v>
      </c>
      <c r="M310" s="82">
        <v>874000000</v>
      </c>
      <c r="N310" s="111">
        <f t="shared" ref="N310:N329" si="41">L310+M310</f>
        <v>2639000000</v>
      </c>
      <c r="O310" s="111">
        <f t="shared" ref="O310:O329" si="42">M310-M309</f>
        <v>23766975</v>
      </c>
      <c r="P310" s="111">
        <f t="shared" ref="P310:P329" si="43">N310-N309</f>
        <v>83210599</v>
      </c>
      <c r="Q310" s="224">
        <v>0</v>
      </c>
    </row>
    <row r="311" spans="9:17">
      <c r="I311" s="210"/>
      <c r="J311" s="111">
        <f t="shared" si="37"/>
        <v>5000000</v>
      </c>
      <c r="K311" s="210" t="s">
        <v>5409</v>
      </c>
      <c r="L311" s="82">
        <v>1770000000</v>
      </c>
      <c r="M311" s="82">
        <v>883000000</v>
      </c>
      <c r="N311" s="111">
        <f t="shared" si="41"/>
        <v>2653000000</v>
      </c>
      <c r="O311" s="111">
        <f t="shared" si="42"/>
        <v>9000000</v>
      </c>
      <c r="P311" s="111">
        <f t="shared" si="43"/>
        <v>14000000</v>
      </c>
      <c r="Q311" s="224">
        <v>0</v>
      </c>
    </row>
    <row r="312" spans="9:17">
      <c r="I312" s="210"/>
      <c r="J312" s="111">
        <f t="shared" si="37"/>
        <v>-23705382</v>
      </c>
      <c r="K312" s="210" t="s">
        <v>5410</v>
      </c>
      <c r="L312" s="82">
        <v>1746294618</v>
      </c>
      <c r="M312" s="82">
        <v>870404179</v>
      </c>
      <c r="N312" s="111">
        <f t="shared" si="41"/>
        <v>2616698797</v>
      </c>
      <c r="O312" s="111">
        <f t="shared" si="42"/>
        <v>-12595821</v>
      </c>
      <c r="P312" s="111">
        <f t="shared" si="43"/>
        <v>-36301203</v>
      </c>
      <c r="Q312" s="224">
        <v>0</v>
      </c>
    </row>
    <row r="313" spans="9:17">
      <c r="I313" s="210"/>
      <c r="J313" s="111">
        <f t="shared" si="37"/>
        <v>52843587</v>
      </c>
      <c r="K313" s="210" t="s">
        <v>5411</v>
      </c>
      <c r="L313" s="82">
        <v>1799138205</v>
      </c>
      <c r="M313" s="82">
        <v>895075872</v>
      </c>
      <c r="N313" s="111">
        <f t="shared" si="41"/>
        <v>2694214077</v>
      </c>
      <c r="O313" s="111">
        <f t="shared" si="42"/>
        <v>24671693</v>
      </c>
      <c r="P313" s="111">
        <f t="shared" si="43"/>
        <v>77515280</v>
      </c>
      <c r="Q313" s="224">
        <v>0</v>
      </c>
    </row>
    <row r="314" spans="9:17">
      <c r="I314" s="210"/>
      <c r="J314" s="111">
        <f t="shared" si="37"/>
        <v>61989536</v>
      </c>
      <c r="K314" s="210" t="s">
        <v>5412</v>
      </c>
      <c r="L314" s="82">
        <v>1861127741</v>
      </c>
      <c r="M314" s="82">
        <v>925114188</v>
      </c>
      <c r="N314" s="111">
        <f t="shared" si="41"/>
        <v>2786241929</v>
      </c>
      <c r="O314" s="111">
        <f t="shared" si="42"/>
        <v>30038316</v>
      </c>
      <c r="P314" s="111">
        <f t="shared" si="43"/>
        <v>92027852</v>
      </c>
      <c r="Q314" s="224">
        <v>0</v>
      </c>
    </row>
    <row r="315" spans="9:17">
      <c r="I315" s="210"/>
      <c r="J315" s="111">
        <f t="shared" si="37"/>
        <v>187816102</v>
      </c>
      <c r="K315" s="210" t="s">
        <v>5413</v>
      </c>
      <c r="L315" s="82">
        <v>2048943843</v>
      </c>
      <c r="M315" s="82">
        <v>1018477929</v>
      </c>
      <c r="N315" s="215">
        <f t="shared" si="41"/>
        <v>3067421772</v>
      </c>
      <c r="O315" s="111">
        <f t="shared" si="42"/>
        <v>93363741</v>
      </c>
      <c r="P315" s="111">
        <f t="shared" si="43"/>
        <v>281179843</v>
      </c>
      <c r="Q315" s="224">
        <v>0</v>
      </c>
    </row>
    <row r="316" spans="9:17">
      <c r="I316" s="210"/>
      <c r="J316" s="111">
        <f t="shared" si="37"/>
        <v>90607204</v>
      </c>
      <c r="K316" s="210" t="s">
        <v>5414</v>
      </c>
      <c r="L316" s="82">
        <v>2139551047</v>
      </c>
      <c r="M316" s="82">
        <v>1063366113</v>
      </c>
      <c r="N316" s="215">
        <f t="shared" si="41"/>
        <v>3202917160</v>
      </c>
      <c r="O316" s="111">
        <f t="shared" si="42"/>
        <v>44888184</v>
      </c>
      <c r="P316" s="111">
        <f t="shared" si="43"/>
        <v>135495388</v>
      </c>
      <c r="Q316" s="224">
        <v>0</v>
      </c>
    </row>
    <row r="317" spans="9:17">
      <c r="I317" s="210"/>
      <c r="J317" s="111">
        <f t="shared" si="37"/>
        <v>-20242572</v>
      </c>
      <c r="K317" s="210" t="s">
        <v>5415</v>
      </c>
      <c r="L317" s="82">
        <v>2119308475</v>
      </c>
      <c r="M317" s="82">
        <v>1053047454</v>
      </c>
      <c r="N317" s="111">
        <f t="shared" si="41"/>
        <v>3172355929</v>
      </c>
      <c r="O317" s="111">
        <f t="shared" si="42"/>
        <v>-10318659</v>
      </c>
      <c r="P317" s="111">
        <f t="shared" si="43"/>
        <v>-30561231</v>
      </c>
      <c r="Q317" s="224">
        <v>0</v>
      </c>
    </row>
    <row r="318" spans="9:17">
      <c r="I318" s="210"/>
      <c r="J318" s="111">
        <f t="shared" si="37"/>
        <v>141276059</v>
      </c>
      <c r="K318" s="210" t="s">
        <v>5416</v>
      </c>
      <c r="L318" s="82">
        <v>2260584534</v>
      </c>
      <c r="M318" s="82">
        <v>1120314374</v>
      </c>
      <c r="N318" s="215">
        <f t="shared" si="41"/>
        <v>3380898908</v>
      </c>
      <c r="O318" s="111">
        <f t="shared" si="42"/>
        <v>67266920</v>
      </c>
      <c r="P318" s="111">
        <f t="shared" si="43"/>
        <v>208542979</v>
      </c>
      <c r="Q318" s="224">
        <v>0</v>
      </c>
    </row>
    <row r="319" spans="9:17">
      <c r="I319" s="210" t="s">
        <v>5418</v>
      </c>
      <c r="J319" s="111">
        <f>L319-L318-3006000</f>
        <v>32865631</v>
      </c>
      <c r="K319" s="210" t="s">
        <v>5417</v>
      </c>
      <c r="L319" s="82">
        <v>2296456165</v>
      </c>
      <c r="M319" s="82">
        <v>1139689638</v>
      </c>
      <c r="N319" s="215">
        <f t="shared" si="41"/>
        <v>3436145803</v>
      </c>
      <c r="O319" s="111">
        <f>M319-M318-3000000</f>
        <v>16375264</v>
      </c>
      <c r="P319" s="111">
        <f>N319-N318-6006000</f>
        <v>49240895</v>
      </c>
      <c r="Q319" s="224">
        <v>6006000</v>
      </c>
    </row>
    <row r="320" spans="9:17">
      <c r="I320" s="210"/>
      <c r="J320" s="111">
        <f t="shared" si="37"/>
        <v>106300248</v>
      </c>
      <c r="K320" s="210" t="s">
        <v>5422</v>
      </c>
      <c r="L320" s="82">
        <v>2402756413</v>
      </c>
      <c r="M320" s="82">
        <v>1193225866</v>
      </c>
      <c r="N320" s="215">
        <f t="shared" si="41"/>
        <v>3595982279</v>
      </c>
      <c r="O320" s="111">
        <f t="shared" si="42"/>
        <v>53536228</v>
      </c>
      <c r="P320" s="111">
        <f t="shared" si="43"/>
        <v>159836476</v>
      </c>
      <c r="Q320" s="224">
        <v>0</v>
      </c>
    </row>
    <row r="321" spans="9:22">
      <c r="I321" s="210"/>
      <c r="J321" s="111">
        <f t="shared" si="37"/>
        <v>26044736</v>
      </c>
      <c r="K321" s="210" t="s">
        <v>5424</v>
      </c>
      <c r="L321" s="82">
        <v>2428801149</v>
      </c>
      <c r="M321" s="82">
        <v>1206365805</v>
      </c>
      <c r="N321" s="215">
        <f t="shared" si="41"/>
        <v>3635166954</v>
      </c>
      <c r="O321" s="111">
        <f t="shared" si="42"/>
        <v>13139939</v>
      </c>
      <c r="P321" s="111">
        <f t="shared" si="43"/>
        <v>39184675</v>
      </c>
      <c r="Q321" s="224">
        <v>0</v>
      </c>
    </row>
    <row r="322" spans="9:22">
      <c r="I322" s="210"/>
      <c r="J322" s="111">
        <f t="shared" si="37"/>
        <v>171198851</v>
      </c>
      <c r="K322" s="210" t="s">
        <v>5425</v>
      </c>
      <c r="L322" s="82">
        <v>2600000000</v>
      </c>
      <c r="M322" s="82">
        <v>1292000000</v>
      </c>
      <c r="N322" s="215">
        <f t="shared" si="41"/>
        <v>3892000000</v>
      </c>
      <c r="O322" s="111">
        <f t="shared" si="42"/>
        <v>85634195</v>
      </c>
      <c r="P322" s="111">
        <f t="shared" si="43"/>
        <v>256833046</v>
      </c>
      <c r="Q322" s="224">
        <v>0</v>
      </c>
    </row>
    <row r="323" spans="9:22">
      <c r="I323" s="210"/>
      <c r="J323" s="111">
        <f t="shared" si="37"/>
        <v>84150663</v>
      </c>
      <c r="K323" s="210" t="s">
        <v>5426</v>
      </c>
      <c r="L323" s="82">
        <v>2684150663</v>
      </c>
      <c r="M323" s="82">
        <v>1332846782</v>
      </c>
      <c r="N323" s="215">
        <f t="shared" si="41"/>
        <v>4016997445</v>
      </c>
      <c r="O323" s="111">
        <f t="shared" si="42"/>
        <v>40846782</v>
      </c>
      <c r="P323" s="111">
        <f t="shared" si="43"/>
        <v>124997445</v>
      </c>
      <c r="Q323" s="224">
        <v>0</v>
      </c>
    </row>
    <row r="324" spans="9:22">
      <c r="I324" s="210"/>
      <c r="J324" s="111">
        <f t="shared" si="37"/>
        <v>82028611</v>
      </c>
      <c r="K324" s="210" t="s">
        <v>5427</v>
      </c>
      <c r="L324" s="82">
        <v>2766179274</v>
      </c>
      <c r="M324" s="82">
        <v>1375672179</v>
      </c>
      <c r="N324" s="215">
        <f t="shared" si="41"/>
        <v>4141851453</v>
      </c>
      <c r="O324" s="111">
        <f t="shared" si="42"/>
        <v>42825397</v>
      </c>
      <c r="P324" s="111">
        <f t="shared" si="43"/>
        <v>124854008</v>
      </c>
      <c r="Q324" s="224">
        <v>0</v>
      </c>
      <c r="V324" t="s">
        <v>25</v>
      </c>
    </row>
    <row r="325" spans="9:22">
      <c r="I325" s="210"/>
      <c r="J325" s="111">
        <f t="shared" si="37"/>
        <v>27803935</v>
      </c>
      <c r="K325" s="210" t="s">
        <v>5433</v>
      </c>
      <c r="L325" s="82">
        <v>2793983209</v>
      </c>
      <c r="M325" s="82">
        <v>1388455108</v>
      </c>
      <c r="N325" s="215">
        <f t="shared" si="41"/>
        <v>4182438317</v>
      </c>
      <c r="O325" s="111">
        <f t="shared" si="42"/>
        <v>12782929</v>
      </c>
      <c r="P325" s="111">
        <f t="shared" si="43"/>
        <v>40586864</v>
      </c>
      <c r="Q325" s="224">
        <v>0</v>
      </c>
    </row>
    <row r="326" spans="9:22">
      <c r="I326" s="210"/>
      <c r="J326" s="111">
        <f t="shared" si="37"/>
        <v>25995929</v>
      </c>
      <c r="K326" s="210" t="s">
        <v>5434</v>
      </c>
      <c r="L326" s="82">
        <v>2819979138</v>
      </c>
      <c r="M326" s="82">
        <v>1401539279</v>
      </c>
      <c r="N326" s="215">
        <f t="shared" si="41"/>
        <v>4221518417</v>
      </c>
      <c r="O326" s="111">
        <f t="shared" si="42"/>
        <v>13084171</v>
      </c>
      <c r="P326" s="111">
        <f t="shared" si="43"/>
        <v>39080100</v>
      </c>
      <c r="Q326" s="224">
        <v>0</v>
      </c>
    </row>
    <row r="327" spans="9:22">
      <c r="I327" s="210" t="s">
        <v>5437</v>
      </c>
      <c r="J327" s="111">
        <f>L327-L326+130382924</f>
        <v>36685298</v>
      </c>
      <c r="K327" s="210" t="s">
        <v>5436</v>
      </c>
      <c r="L327" s="82">
        <v>2726281512</v>
      </c>
      <c r="M327" s="82">
        <v>1352767212</v>
      </c>
      <c r="N327" s="215">
        <f t="shared" si="41"/>
        <v>4079048724</v>
      </c>
      <c r="O327" s="111">
        <f>M327-M326+65461942</f>
        <v>16689875</v>
      </c>
      <c r="P327" s="111">
        <f>N327-N326+195844866</f>
        <v>53375173</v>
      </c>
      <c r="Q327" s="224">
        <v>-195844866</v>
      </c>
    </row>
    <row r="328" spans="9:22">
      <c r="I328" s="210"/>
      <c r="J328" s="111">
        <f t="shared" si="37"/>
        <v>423693862</v>
      </c>
      <c r="K328" s="210" t="s">
        <v>5435</v>
      </c>
      <c r="L328" s="82">
        <v>3149975374</v>
      </c>
      <c r="M328" s="82">
        <v>1567387310</v>
      </c>
      <c r="N328" s="215">
        <f t="shared" si="41"/>
        <v>4717362684</v>
      </c>
      <c r="O328" s="111">
        <f t="shared" si="42"/>
        <v>214620098</v>
      </c>
      <c r="P328" s="111">
        <f t="shared" si="43"/>
        <v>638313960</v>
      </c>
      <c r="Q328" s="224">
        <v>0</v>
      </c>
    </row>
    <row r="329" spans="9:22">
      <c r="I329" s="210"/>
      <c r="J329" s="111">
        <f t="shared" si="37"/>
        <v>138024626</v>
      </c>
      <c r="K329" s="210" t="s">
        <v>5438</v>
      </c>
      <c r="L329" s="82">
        <v>3288000000</v>
      </c>
      <c r="M329" s="82">
        <v>1636000000</v>
      </c>
      <c r="N329" s="215">
        <f t="shared" si="41"/>
        <v>4924000000</v>
      </c>
      <c r="O329" s="111">
        <f t="shared" si="42"/>
        <v>68612690</v>
      </c>
      <c r="P329" s="111">
        <f t="shared" si="43"/>
        <v>206637316</v>
      </c>
      <c r="Q329" s="224">
        <v>0</v>
      </c>
    </row>
    <row r="330" spans="9:22">
      <c r="I330" s="210"/>
      <c r="J330" s="111">
        <f t="shared" si="37"/>
        <v>139431734</v>
      </c>
      <c r="K330" s="210" t="s">
        <v>5439</v>
      </c>
      <c r="L330" s="82">
        <v>3427431734</v>
      </c>
      <c r="M330" s="82">
        <v>1705312175</v>
      </c>
      <c r="N330" s="215">
        <f t="shared" ref="N330:N415" si="44">L330+M330</f>
        <v>5132743909</v>
      </c>
      <c r="O330" s="111">
        <f t="shared" ref="O330:O364" si="45">M330-M329</f>
        <v>69312175</v>
      </c>
      <c r="P330" s="111">
        <f t="shared" ref="P330:P364" si="46">N330-N329</f>
        <v>208743909</v>
      </c>
      <c r="Q330" s="224">
        <v>0</v>
      </c>
    </row>
    <row r="331" spans="9:22">
      <c r="I331" s="210"/>
      <c r="J331" s="111">
        <f t="shared" si="37"/>
        <v>171263819</v>
      </c>
      <c r="K331" s="210" t="s">
        <v>981</v>
      </c>
      <c r="L331" s="82">
        <v>3598695553</v>
      </c>
      <c r="M331" s="82">
        <v>1790521534</v>
      </c>
      <c r="N331" s="215">
        <f t="shared" si="44"/>
        <v>5389217087</v>
      </c>
      <c r="O331" s="111">
        <f t="shared" si="45"/>
        <v>85209359</v>
      </c>
      <c r="P331" s="111">
        <f t="shared" si="46"/>
        <v>256473178</v>
      </c>
      <c r="Q331" s="224">
        <v>0</v>
      </c>
    </row>
    <row r="332" spans="9:22">
      <c r="I332" s="187" t="s">
        <v>5443</v>
      </c>
      <c r="J332" s="186">
        <f>L332-L331-125000000</f>
        <v>154015802</v>
      </c>
      <c r="K332" s="187" t="s">
        <v>5311</v>
      </c>
      <c r="L332" s="232">
        <v>3877711355</v>
      </c>
      <c r="M332" s="232">
        <v>1868422520</v>
      </c>
      <c r="N332" s="215">
        <f t="shared" si="44"/>
        <v>5746133875</v>
      </c>
      <c r="O332" s="186">
        <f t="shared" si="45"/>
        <v>77900986</v>
      </c>
      <c r="P332" s="186">
        <f>N332-N331-125000000</f>
        <v>231916788</v>
      </c>
      <c r="Q332" s="224">
        <v>125000000</v>
      </c>
    </row>
    <row r="333" spans="9:22">
      <c r="I333" s="187" t="s">
        <v>5444</v>
      </c>
      <c r="J333" s="186">
        <f>L333-L332-7200000</f>
        <v>-108573535</v>
      </c>
      <c r="K333" s="187" t="s">
        <v>5440</v>
      </c>
      <c r="L333" s="232">
        <v>3776337820</v>
      </c>
      <c r="M333" s="232">
        <v>1839777065</v>
      </c>
      <c r="N333" s="186">
        <f t="shared" si="44"/>
        <v>5616114885</v>
      </c>
      <c r="O333" s="186">
        <f>M333-M332-35000000</f>
        <v>-63645455</v>
      </c>
      <c r="P333" s="186">
        <f>N333-N332-42200000</f>
        <v>-172218990</v>
      </c>
      <c r="Q333" s="224">
        <v>42200000</v>
      </c>
    </row>
    <row r="334" spans="9:22">
      <c r="I334" s="210"/>
      <c r="J334" s="111">
        <f t="shared" si="37"/>
        <v>-22190531</v>
      </c>
      <c r="K334" s="210" t="s">
        <v>5447</v>
      </c>
      <c r="L334" s="82">
        <v>3754147289</v>
      </c>
      <c r="M334" s="82">
        <v>1829218494</v>
      </c>
      <c r="N334" s="111">
        <f t="shared" si="44"/>
        <v>5583365783</v>
      </c>
      <c r="O334" s="111">
        <f t="shared" si="45"/>
        <v>-10558571</v>
      </c>
      <c r="P334" s="111">
        <f t="shared" si="46"/>
        <v>-32749102</v>
      </c>
      <c r="Q334" s="224">
        <v>0</v>
      </c>
    </row>
    <row r="335" spans="9:22">
      <c r="I335" s="210"/>
      <c r="J335" s="111">
        <f t="shared" si="37"/>
        <v>128294991</v>
      </c>
      <c r="K335" s="210" t="s">
        <v>5448</v>
      </c>
      <c r="L335" s="82">
        <v>3882442280</v>
      </c>
      <c r="M335" s="82">
        <v>1904290333</v>
      </c>
      <c r="N335" s="215">
        <f t="shared" si="44"/>
        <v>5786732613</v>
      </c>
      <c r="O335" s="111">
        <f t="shared" si="45"/>
        <v>75071839</v>
      </c>
      <c r="P335" s="111">
        <f t="shared" si="46"/>
        <v>203366830</v>
      </c>
      <c r="Q335" s="224">
        <v>0</v>
      </c>
    </row>
    <row r="336" spans="9:22">
      <c r="I336" s="210"/>
      <c r="J336" s="111">
        <f t="shared" si="37"/>
        <v>-19277835</v>
      </c>
      <c r="K336" s="210" t="s">
        <v>5449</v>
      </c>
      <c r="L336" s="82">
        <v>3863164445</v>
      </c>
      <c r="M336" s="82">
        <v>1883839042</v>
      </c>
      <c r="N336" s="111">
        <f t="shared" si="44"/>
        <v>5747003487</v>
      </c>
      <c r="O336" s="111">
        <f t="shared" si="45"/>
        <v>-20451291</v>
      </c>
      <c r="P336" s="111">
        <f t="shared" si="46"/>
        <v>-39729126</v>
      </c>
      <c r="Q336" s="224">
        <v>0</v>
      </c>
    </row>
    <row r="337" spans="9:19">
      <c r="I337" s="210"/>
      <c r="J337" s="111">
        <f t="shared" si="37"/>
        <v>-144610106</v>
      </c>
      <c r="K337" s="210" t="s">
        <v>5452</v>
      </c>
      <c r="L337" s="82">
        <v>3718554339</v>
      </c>
      <c r="M337" s="82">
        <v>1811827994</v>
      </c>
      <c r="N337" s="111">
        <f t="shared" si="44"/>
        <v>5530382333</v>
      </c>
      <c r="O337" s="111">
        <f t="shared" si="45"/>
        <v>-72011048</v>
      </c>
      <c r="P337" s="111">
        <f t="shared" si="46"/>
        <v>-216621154</v>
      </c>
      <c r="Q337" s="224">
        <v>0</v>
      </c>
    </row>
    <row r="338" spans="9:19">
      <c r="I338" s="210"/>
      <c r="J338" s="111">
        <f t="shared" si="37"/>
        <v>-168554339</v>
      </c>
      <c r="K338" s="210" t="s">
        <v>5454</v>
      </c>
      <c r="L338" s="82">
        <v>3550000000</v>
      </c>
      <c r="M338" s="82">
        <v>1730000000</v>
      </c>
      <c r="N338" s="111">
        <f t="shared" si="44"/>
        <v>5280000000</v>
      </c>
      <c r="O338" s="111">
        <f t="shared" si="45"/>
        <v>-81827994</v>
      </c>
      <c r="P338" s="111">
        <f t="shared" si="46"/>
        <v>-250382333</v>
      </c>
      <c r="Q338" s="224">
        <v>0</v>
      </c>
    </row>
    <row r="339" spans="9:19">
      <c r="I339" s="210"/>
      <c r="J339" s="111">
        <f t="shared" si="37"/>
        <v>-162698423</v>
      </c>
      <c r="K339" s="210" t="s">
        <v>5456</v>
      </c>
      <c r="L339" s="82">
        <v>3387301577</v>
      </c>
      <c r="M339" s="82">
        <v>1650000000</v>
      </c>
      <c r="N339" s="111">
        <f t="shared" si="44"/>
        <v>5037301577</v>
      </c>
      <c r="O339" s="111">
        <f t="shared" si="45"/>
        <v>-80000000</v>
      </c>
      <c r="P339" s="111">
        <f t="shared" si="46"/>
        <v>-242698423</v>
      </c>
      <c r="Q339" s="224">
        <v>0</v>
      </c>
    </row>
    <row r="340" spans="9:19">
      <c r="I340" s="210"/>
      <c r="J340" s="111">
        <f t="shared" si="37"/>
        <v>-137426039</v>
      </c>
      <c r="K340" s="210" t="s">
        <v>5457</v>
      </c>
      <c r="L340" s="82">
        <v>3249875538</v>
      </c>
      <c r="M340" s="82">
        <v>1583444686</v>
      </c>
      <c r="N340" s="111">
        <f t="shared" si="44"/>
        <v>4833320224</v>
      </c>
      <c r="O340" s="111">
        <f t="shared" si="45"/>
        <v>-66555314</v>
      </c>
      <c r="P340" s="111">
        <f t="shared" si="46"/>
        <v>-203981353</v>
      </c>
      <c r="Q340" s="224">
        <v>0</v>
      </c>
    </row>
    <row r="341" spans="9:19">
      <c r="I341" s="210"/>
      <c r="J341" s="111">
        <f t="shared" si="37"/>
        <v>-8795174</v>
      </c>
      <c r="K341" s="210" t="s">
        <v>5458</v>
      </c>
      <c r="L341" s="82">
        <v>3241080364</v>
      </c>
      <c r="M341" s="82">
        <v>1578556448</v>
      </c>
      <c r="N341" s="111">
        <f t="shared" si="44"/>
        <v>4819636812</v>
      </c>
      <c r="O341" s="111">
        <f t="shared" si="45"/>
        <v>-4888238</v>
      </c>
      <c r="P341" s="111">
        <f t="shared" si="46"/>
        <v>-13683412</v>
      </c>
      <c r="Q341" s="224">
        <v>0</v>
      </c>
    </row>
    <row r="342" spans="9:19">
      <c r="I342" s="210"/>
      <c r="J342" s="111">
        <f t="shared" si="37"/>
        <v>138483558</v>
      </c>
      <c r="K342" s="210" t="s">
        <v>5459</v>
      </c>
      <c r="L342" s="82">
        <v>3379563922</v>
      </c>
      <c r="M342" s="82">
        <v>1645808930</v>
      </c>
      <c r="N342" s="111">
        <f t="shared" si="44"/>
        <v>5025372852</v>
      </c>
      <c r="O342" s="111">
        <f t="shared" si="45"/>
        <v>67252482</v>
      </c>
      <c r="P342" s="111">
        <f t="shared" si="46"/>
        <v>205736040</v>
      </c>
      <c r="Q342" s="224">
        <v>0</v>
      </c>
      <c r="S342" t="s">
        <v>25</v>
      </c>
    </row>
    <row r="343" spans="9:19">
      <c r="I343" s="210"/>
      <c r="J343" s="111">
        <f t="shared" si="37"/>
        <v>-113569577</v>
      </c>
      <c r="K343" s="210" t="s">
        <v>5460</v>
      </c>
      <c r="L343" s="82">
        <v>3265994345</v>
      </c>
      <c r="M343" s="82">
        <v>1604890418</v>
      </c>
      <c r="N343" s="111">
        <f t="shared" si="44"/>
        <v>4870884763</v>
      </c>
      <c r="O343" s="111">
        <f t="shared" si="45"/>
        <v>-40918512</v>
      </c>
      <c r="P343" s="111">
        <f t="shared" si="46"/>
        <v>-154488089</v>
      </c>
      <c r="Q343" s="224">
        <v>0</v>
      </c>
    </row>
    <row r="344" spans="9:19">
      <c r="I344" s="210"/>
      <c r="J344" s="111">
        <f t="shared" si="37"/>
        <v>89973185</v>
      </c>
      <c r="K344" s="210" t="s">
        <v>5461</v>
      </c>
      <c r="L344" s="82">
        <v>3355967530</v>
      </c>
      <c r="M344" s="82">
        <v>1637972294</v>
      </c>
      <c r="N344" s="111">
        <f t="shared" si="44"/>
        <v>4993939824</v>
      </c>
      <c r="O344" s="111">
        <f t="shared" si="45"/>
        <v>33081876</v>
      </c>
      <c r="P344" s="111">
        <f t="shared" si="46"/>
        <v>123055061</v>
      </c>
      <c r="Q344" s="224">
        <v>0</v>
      </c>
    </row>
    <row r="345" spans="9:19">
      <c r="I345" s="210"/>
      <c r="J345" s="111">
        <f t="shared" si="37"/>
        <v>-151470245</v>
      </c>
      <c r="K345" s="210" t="s">
        <v>5465</v>
      </c>
      <c r="L345" s="82">
        <v>3204497285</v>
      </c>
      <c r="M345" s="82">
        <v>1563005571</v>
      </c>
      <c r="N345" s="111">
        <f t="shared" si="44"/>
        <v>4767502856</v>
      </c>
      <c r="O345" s="111">
        <f t="shared" si="45"/>
        <v>-74966723</v>
      </c>
      <c r="P345" s="111">
        <f t="shared" si="46"/>
        <v>-226436968</v>
      </c>
      <c r="Q345" s="224">
        <v>0</v>
      </c>
    </row>
    <row r="346" spans="9:19">
      <c r="I346" s="210"/>
      <c r="J346" s="111">
        <f t="shared" si="37"/>
        <v>15502715</v>
      </c>
      <c r="K346" s="210" t="s">
        <v>5481</v>
      </c>
      <c r="L346" s="82">
        <v>3220000000</v>
      </c>
      <c r="M346" s="82">
        <v>1580000000</v>
      </c>
      <c r="N346" s="111">
        <f t="shared" si="44"/>
        <v>4800000000</v>
      </c>
      <c r="O346" s="111">
        <f t="shared" si="45"/>
        <v>16994429</v>
      </c>
      <c r="P346" s="111">
        <f t="shared" si="46"/>
        <v>32497144</v>
      </c>
      <c r="Q346" s="224">
        <v>0</v>
      </c>
    </row>
    <row r="347" spans="9:19">
      <c r="I347" s="187" t="s">
        <v>5496</v>
      </c>
      <c r="J347" s="186">
        <f>L347-L346-50000000</f>
        <v>30000000</v>
      </c>
      <c r="K347" s="187" t="s">
        <v>5482</v>
      </c>
      <c r="L347" s="232">
        <v>3300000000</v>
      </c>
      <c r="M347" s="232">
        <v>1600000000</v>
      </c>
      <c r="N347" s="186">
        <f t="shared" si="44"/>
        <v>4900000000</v>
      </c>
      <c r="O347" s="186">
        <f t="shared" si="45"/>
        <v>20000000</v>
      </c>
      <c r="P347" s="186">
        <f>N347-N346-50000000</f>
        <v>50000000</v>
      </c>
      <c r="Q347" s="224">
        <v>50000000</v>
      </c>
    </row>
    <row r="348" spans="9:19">
      <c r="I348" s="187" t="s">
        <v>5498</v>
      </c>
      <c r="J348" s="186">
        <f t="shared" si="37"/>
        <v>79324490</v>
      </c>
      <c r="K348" s="187" t="s">
        <v>5483</v>
      </c>
      <c r="L348" s="232">
        <v>3379324490</v>
      </c>
      <c r="M348" s="232">
        <v>1643511084</v>
      </c>
      <c r="N348" s="186">
        <f>L348+M348</f>
        <v>5022835574</v>
      </c>
      <c r="O348" s="186">
        <f>M348-M347-20000000</f>
        <v>23511084</v>
      </c>
      <c r="P348" s="186">
        <f>N348-N347-20000000</f>
        <v>102835574</v>
      </c>
      <c r="Q348" s="224">
        <v>20000000</v>
      </c>
    </row>
    <row r="349" spans="9:19">
      <c r="I349" s="210"/>
      <c r="J349" s="111">
        <f t="shared" si="37"/>
        <v>103488135</v>
      </c>
      <c r="K349" s="210" t="s">
        <v>5501</v>
      </c>
      <c r="L349" s="82">
        <v>3482812625</v>
      </c>
      <c r="M349" s="82">
        <v>1687800619</v>
      </c>
      <c r="N349" s="111">
        <f t="shared" si="44"/>
        <v>5170613244</v>
      </c>
      <c r="O349" s="111">
        <f t="shared" si="45"/>
        <v>44289535</v>
      </c>
      <c r="P349" s="111">
        <f t="shared" si="46"/>
        <v>147777670</v>
      </c>
      <c r="Q349" s="224">
        <v>0</v>
      </c>
    </row>
    <row r="350" spans="9:19">
      <c r="I350" s="210"/>
      <c r="J350" s="111">
        <f t="shared" si="37"/>
        <v>158859553</v>
      </c>
      <c r="K350" s="210" t="s">
        <v>5502</v>
      </c>
      <c r="L350" s="82">
        <v>3641672178</v>
      </c>
      <c r="M350" s="82">
        <v>1761048225</v>
      </c>
      <c r="N350" s="111">
        <f t="shared" si="44"/>
        <v>5402720403</v>
      </c>
      <c r="O350" s="111">
        <f t="shared" si="45"/>
        <v>73247606</v>
      </c>
      <c r="P350" s="111">
        <f t="shared" si="46"/>
        <v>232107159</v>
      </c>
      <c r="Q350" s="224">
        <v>0</v>
      </c>
    </row>
    <row r="351" spans="9:19">
      <c r="I351" s="210"/>
      <c r="J351" s="111">
        <f t="shared" si="37"/>
        <v>148972135</v>
      </c>
      <c r="K351" s="210" t="s">
        <v>5503</v>
      </c>
      <c r="L351" s="82">
        <v>3790644313</v>
      </c>
      <c r="M351" s="82">
        <v>1833071944</v>
      </c>
      <c r="N351" s="111">
        <f t="shared" si="44"/>
        <v>5623716257</v>
      </c>
      <c r="O351" s="111">
        <f t="shared" si="45"/>
        <v>72023719</v>
      </c>
      <c r="P351" s="111">
        <f t="shared" si="46"/>
        <v>220995854</v>
      </c>
      <c r="Q351" s="224">
        <v>0</v>
      </c>
    </row>
    <row r="352" spans="9:19">
      <c r="I352" s="210"/>
      <c r="J352" s="111">
        <f t="shared" si="37"/>
        <v>173385305</v>
      </c>
      <c r="K352" s="210" t="s">
        <v>5505</v>
      </c>
      <c r="L352" s="82">
        <v>3964029618</v>
      </c>
      <c r="M352" s="82">
        <v>1918994990</v>
      </c>
      <c r="N352" s="284">
        <f t="shared" si="44"/>
        <v>5883024608</v>
      </c>
      <c r="O352" s="111">
        <f t="shared" si="45"/>
        <v>85923046</v>
      </c>
      <c r="P352" s="111">
        <f t="shared" si="46"/>
        <v>259308351</v>
      </c>
      <c r="Q352" s="224">
        <v>0</v>
      </c>
    </row>
    <row r="353" spans="9:21">
      <c r="I353" s="210"/>
      <c r="J353" s="111">
        <f t="shared" si="37"/>
        <v>197999356</v>
      </c>
      <c r="K353" s="210" t="s">
        <v>5506</v>
      </c>
      <c r="L353" s="82">
        <v>4162028974</v>
      </c>
      <c r="M353" s="82">
        <v>2014922470</v>
      </c>
      <c r="N353" s="284">
        <f t="shared" si="44"/>
        <v>6176951444</v>
      </c>
      <c r="O353" s="111">
        <f t="shared" si="45"/>
        <v>95927480</v>
      </c>
      <c r="P353" s="111">
        <f t="shared" si="46"/>
        <v>293926836</v>
      </c>
      <c r="Q353" s="224">
        <v>0</v>
      </c>
      <c r="U353" t="s">
        <v>25</v>
      </c>
    </row>
    <row r="354" spans="9:21">
      <c r="I354" s="210"/>
      <c r="J354" s="111">
        <f t="shared" si="37"/>
        <v>75948917</v>
      </c>
      <c r="K354" s="210" t="s">
        <v>5508</v>
      </c>
      <c r="L354" s="82">
        <v>4237977891</v>
      </c>
      <c r="M354" s="82">
        <v>2058362540</v>
      </c>
      <c r="N354" s="284">
        <f t="shared" si="44"/>
        <v>6296340431</v>
      </c>
      <c r="O354" s="111">
        <f t="shared" si="45"/>
        <v>43440070</v>
      </c>
      <c r="P354" s="111">
        <f t="shared" si="46"/>
        <v>119388987</v>
      </c>
      <c r="Q354" s="224">
        <v>0</v>
      </c>
    </row>
    <row r="355" spans="9:21">
      <c r="I355" s="210"/>
      <c r="J355" s="111">
        <f t="shared" si="37"/>
        <v>272316683</v>
      </c>
      <c r="K355" s="210" t="s">
        <v>5509</v>
      </c>
      <c r="L355" s="82">
        <v>4510294574</v>
      </c>
      <c r="M355" s="82">
        <v>2190854889</v>
      </c>
      <c r="N355" s="284">
        <f t="shared" si="44"/>
        <v>6701149463</v>
      </c>
      <c r="O355" s="111">
        <f t="shared" si="45"/>
        <v>132492349</v>
      </c>
      <c r="P355" s="111">
        <f t="shared" si="46"/>
        <v>404809032</v>
      </c>
      <c r="Q355" s="224">
        <v>0</v>
      </c>
    </row>
    <row r="356" spans="9:21">
      <c r="I356" s="210"/>
      <c r="J356" s="111">
        <f t="shared" si="37"/>
        <v>20447233</v>
      </c>
      <c r="K356" s="210" t="s">
        <v>5510</v>
      </c>
      <c r="L356" s="82">
        <v>4530741807</v>
      </c>
      <c r="M356" s="82">
        <v>2183355146</v>
      </c>
      <c r="N356" s="284">
        <f t="shared" si="44"/>
        <v>6714096953</v>
      </c>
      <c r="O356" s="111">
        <f t="shared" si="45"/>
        <v>-7499743</v>
      </c>
      <c r="P356" s="111">
        <f t="shared" si="46"/>
        <v>12947490</v>
      </c>
      <c r="Q356" s="224">
        <v>0</v>
      </c>
    </row>
    <row r="357" spans="9:21">
      <c r="I357" s="210"/>
      <c r="J357" s="111">
        <f t="shared" si="37"/>
        <v>44659872</v>
      </c>
      <c r="K357" s="210" t="s">
        <v>5511</v>
      </c>
      <c r="L357" s="82">
        <v>4575401679</v>
      </c>
      <c r="M357" s="82">
        <v>2205686125</v>
      </c>
      <c r="N357" s="284">
        <f t="shared" si="44"/>
        <v>6781087804</v>
      </c>
      <c r="O357" s="111">
        <f t="shared" si="45"/>
        <v>22330979</v>
      </c>
      <c r="P357" s="111">
        <f t="shared" si="46"/>
        <v>66990851</v>
      </c>
      <c r="Q357" s="224">
        <v>0</v>
      </c>
    </row>
    <row r="358" spans="9:21">
      <c r="I358" s="210"/>
      <c r="J358" s="111">
        <f t="shared" si="37"/>
        <v>-97728047</v>
      </c>
      <c r="K358" s="210" t="s">
        <v>5512</v>
      </c>
      <c r="L358" s="82">
        <v>4477673632</v>
      </c>
      <c r="M358" s="82">
        <v>2158000000</v>
      </c>
      <c r="N358" s="111">
        <f t="shared" si="44"/>
        <v>6635673632</v>
      </c>
      <c r="O358" s="111">
        <f t="shared" si="45"/>
        <v>-47686125</v>
      </c>
      <c r="P358" s="111">
        <f t="shared" si="46"/>
        <v>-145414172</v>
      </c>
      <c r="Q358" s="224">
        <v>0</v>
      </c>
    </row>
    <row r="359" spans="9:21">
      <c r="I359" s="210"/>
      <c r="J359" s="111">
        <f t="shared" si="37"/>
        <v>127023161</v>
      </c>
      <c r="K359" s="210" t="s">
        <v>5513</v>
      </c>
      <c r="L359" s="82">
        <v>4604696793</v>
      </c>
      <c r="M359" s="82">
        <f>M358*L359/L358</f>
        <v>2219218392.3989034</v>
      </c>
      <c r="N359" s="284">
        <f t="shared" si="44"/>
        <v>6823915185.3989029</v>
      </c>
      <c r="O359" s="111">
        <f t="shared" si="45"/>
        <v>61218392.39890337</v>
      </c>
      <c r="P359" s="111">
        <f t="shared" si="46"/>
        <v>188241553.39890289</v>
      </c>
      <c r="Q359" s="224">
        <v>0</v>
      </c>
    </row>
    <row r="360" spans="9:21">
      <c r="I360" s="210"/>
      <c r="J360" s="111">
        <f t="shared" si="37"/>
        <v>97899358</v>
      </c>
      <c r="K360" s="210" t="s">
        <v>5514</v>
      </c>
      <c r="L360" s="82">
        <v>4702596151</v>
      </c>
      <c r="M360" s="82">
        <f>M359*L360/L359</f>
        <v>2266400664.2496624</v>
      </c>
      <c r="N360" s="284">
        <f t="shared" si="44"/>
        <v>6968996815.2496624</v>
      </c>
      <c r="O360" s="111">
        <f t="shared" si="45"/>
        <v>47182271.850759029</v>
      </c>
      <c r="P360" s="111">
        <f t="shared" si="46"/>
        <v>145081629.85075951</v>
      </c>
      <c r="Q360" s="224">
        <v>0</v>
      </c>
    </row>
    <row r="361" spans="9:21">
      <c r="I361" s="210"/>
      <c r="J361" s="111">
        <f t="shared" si="37"/>
        <v>27403849</v>
      </c>
      <c r="K361" s="210" t="s">
        <v>5517</v>
      </c>
      <c r="L361" s="82">
        <v>4730000000</v>
      </c>
      <c r="M361" s="82">
        <v>2276000000</v>
      </c>
      <c r="N361" s="284">
        <f t="shared" si="44"/>
        <v>7006000000</v>
      </c>
      <c r="O361" s="111">
        <f t="shared" si="45"/>
        <v>9599335.7503376007</v>
      </c>
      <c r="P361" s="111">
        <f t="shared" si="46"/>
        <v>37003184.750337601</v>
      </c>
      <c r="Q361" s="224">
        <v>0</v>
      </c>
    </row>
    <row r="362" spans="9:21">
      <c r="I362" s="213" t="s">
        <v>5519</v>
      </c>
      <c r="J362" s="239">
        <f>L362-L361+58196600</f>
        <v>79816926</v>
      </c>
      <c r="K362" s="213" t="s">
        <v>5518</v>
      </c>
      <c r="L362" s="240">
        <v>4751620326</v>
      </c>
      <c r="M362" s="240">
        <v>2286535574</v>
      </c>
      <c r="N362" s="239">
        <f t="shared" si="44"/>
        <v>7038155900</v>
      </c>
      <c r="O362" s="239">
        <f>M362-M361+46183500</f>
        <v>56719074</v>
      </c>
      <c r="P362" s="239">
        <f>N362-N361+58196600+46183500</f>
        <v>136536000</v>
      </c>
      <c r="Q362" s="224">
        <v>-104380100</v>
      </c>
    </row>
    <row r="363" spans="9:21">
      <c r="I363" s="210"/>
      <c r="J363" s="111">
        <f t="shared" si="37"/>
        <v>240267176</v>
      </c>
      <c r="K363" s="210" t="s">
        <v>5523</v>
      </c>
      <c r="L363" s="82">
        <v>4991887502</v>
      </c>
      <c r="M363" s="82">
        <v>2397577212</v>
      </c>
      <c r="N363" s="284">
        <f t="shared" si="44"/>
        <v>7389464714</v>
      </c>
      <c r="O363" s="111">
        <f t="shared" si="45"/>
        <v>111041638</v>
      </c>
      <c r="P363" s="111">
        <f t="shared" si="46"/>
        <v>351308814</v>
      </c>
      <c r="Q363" s="224">
        <v>0</v>
      </c>
    </row>
    <row r="364" spans="9:21">
      <c r="I364" s="210"/>
      <c r="J364" s="111">
        <f t="shared" si="37"/>
        <v>228141203</v>
      </c>
      <c r="K364" s="210" t="s">
        <v>5525</v>
      </c>
      <c r="L364" s="82">
        <v>5220028705</v>
      </c>
      <c r="M364" s="82">
        <v>2501264745</v>
      </c>
      <c r="N364" s="284">
        <f t="shared" si="44"/>
        <v>7721293450</v>
      </c>
      <c r="O364" s="111">
        <f t="shared" si="45"/>
        <v>103687533</v>
      </c>
      <c r="P364" s="111">
        <f t="shared" si="46"/>
        <v>331828736</v>
      </c>
      <c r="Q364" s="224">
        <v>0</v>
      </c>
    </row>
    <row r="365" spans="9:21">
      <c r="I365" s="210"/>
      <c r="J365" s="111">
        <f t="shared" si="37"/>
        <v>246697634</v>
      </c>
      <c r="K365" s="210" t="s">
        <v>5527</v>
      </c>
      <c r="L365" s="82">
        <v>5466726339</v>
      </c>
      <c r="M365" s="82">
        <v>2611141264</v>
      </c>
      <c r="N365" s="284">
        <f t="shared" si="44"/>
        <v>8077867603</v>
      </c>
      <c r="O365" s="111">
        <f t="shared" ref="O365:O373" si="47">M365-M364</f>
        <v>109876519</v>
      </c>
      <c r="P365" s="111">
        <f t="shared" ref="P365:P373" si="48">N365-N364</f>
        <v>356574153</v>
      </c>
      <c r="Q365" s="224">
        <v>0</v>
      </c>
      <c r="U365" t="s">
        <v>25</v>
      </c>
    </row>
    <row r="366" spans="9:21">
      <c r="I366" s="210"/>
      <c r="J366" s="111">
        <f t="shared" si="37"/>
        <v>197105230</v>
      </c>
      <c r="K366" s="210" t="s">
        <v>5528</v>
      </c>
      <c r="L366" s="82">
        <v>5663831569</v>
      </c>
      <c r="M366" s="82">
        <v>2689938073</v>
      </c>
      <c r="N366" s="284">
        <f t="shared" si="44"/>
        <v>8353769642</v>
      </c>
      <c r="O366" s="111">
        <f t="shared" si="47"/>
        <v>78796809</v>
      </c>
      <c r="P366" s="111">
        <f t="shared" si="48"/>
        <v>275902039</v>
      </c>
      <c r="Q366" s="224">
        <v>0</v>
      </c>
    </row>
    <row r="367" spans="9:21">
      <c r="I367" s="210"/>
      <c r="J367" s="111">
        <f t="shared" si="37"/>
        <v>-43831569</v>
      </c>
      <c r="K367" s="210" t="s">
        <v>5531</v>
      </c>
      <c r="L367" s="82">
        <v>5620000000</v>
      </c>
      <c r="M367" s="82">
        <v>2670000000</v>
      </c>
      <c r="N367" s="111">
        <f t="shared" si="44"/>
        <v>8290000000</v>
      </c>
      <c r="O367" s="111">
        <f t="shared" si="47"/>
        <v>-19938073</v>
      </c>
      <c r="P367" s="111">
        <f t="shared" si="48"/>
        <v>-63769642</v>
      </c>
      <c r="S367" t="s">
        <v>25</v>
      </c>
    </row>
    <row r="368" spans="9:21">
      <c r="I368" s="187" t="s">
        <v>5533</v>
      </c>
      <c r="J368" s="186">
        <f t="shared" si="37"/>
        <v>-39749235</v>
      </c>
      <c r="K368" s="187" t="s">
        <v>5532</v>
      </c>
      <c r="L368" s="232">
        <v>5580250765</v>
      </c>
      <c r="M368" s="232">
        <v>2682359720</v>
      </c>
      <c r="N368" s="186">
        <f t="shared" si="44"/>
        <v>8262610485</v>
      </c>
      <c r="O368" s="186">
        <f>M368-M367-50000000</f>
        <v>-37640280</v>
      </c>
      <c r="P368" s="186">
        <f>N368-N367-50000000</f>
        <v>-77389515</v>
      </c>
      <c r="Q368" s="224">
        <v>50000000</v>
      </c>
    </row>
    <row r="369" spans="9:20">
      <c r="I369" s="210"/>
      <c r="J369" s="111">
        <f t="shared" si="37"/>
        <v>174576498</v>
      </c>
      <c r="K369" s="210" t="s">
        <v>5537</v>
      </c>
      <c r="L369" s="82">
        <v>5754827263</v>
      </c>
      <c r="M369" s="82">
        <v>2766301410</v>
      </c>
      <c r="N369" s="284">
        <f t="shared" si="44"/>
        <v>8521128673</v>
      </c>
      <c r="O369" s="111">
        <f t="shared" si="47"/>
        <v>83941690</v>
      </c>
      <c r="P369" s="111">
        <f t="shared" si="48"/>
        <v>258518188</v>
      </c>
      <c r="Q369" s="224">
        <v>0</v>
      </c>
    </row>
    <row r="370" spans="9:20">
      <c r="I370" s="210"/>
      <c r="J370" s="111">
        <f t="shared" si="37"/>
        <v>282226898</v>
      </c>
      <c r="K370" s="210" t="s">
        <v>5538</v>
      </c>
      <c r="L370" s="82">
        <v>6037054161</v>
      </c>
      <c r="M370" s="82">
        <v>2358541132</v>
      </c>
      <c r="N370" s="111">
        <f t="shared" si="44"/>
        <v>8395595293</v>
      </c>
      <c r="O370" s="111">
        <f t="shared" si="47"/>
        <v>-407760278</v>
      </c>
      <c r="P370" s="111">
        <f t="shared" si="48"/>
        <v>-125533380</v>
      </c>
      <c r="Q370" s="224">
        <v>0</v>
      </c>
    </row>
    <row r="371" spans="9:20">
      <c r="I371" s="210"/>
      <c r="J371" s="111">
        <f t="shared" si="37"/>
        <v>-192374033</v>
      </c>
      <c r="K371" s="210" t="s">
        <v>5539</v>
      </c>
      <c r="L371" s="82">
        <v>5844680128</v>
      </c>
      <c r="M371" s="82">
        <v>2825703655</v>
      </c>
      <c r="N371" s="284">
        <f t="shared" si="44"/>
        <v>8670383783</v>
      </c>
      <c r="O371" s="111">
        <f t="shared" si="47"/>
        <v>467162523</v>
      </c>
      <c r="P371" s="111">
        <f t="shared" si="48"/>
        <v>274788490</v>
      </c>
      <c r="Q371" s="224">
        <v>0</v>
      </c>
    </row>
    <row r="372" spans="9:20">
      <c r="I372" s="210"/>
      <c r="J372" s="111">
        <f t="shared" si="37"/>
        <v>454779250</v>
      </c>
      <c r="K372" s="210" t="s">
        <v>5540</v>
      </c>
      <c r="L372" s="82">
        <v>6299459378</v>
      </c>
      <c r="M372" s="82">
        <v>3030827103</v>
      </c>
      <c r="N372" s="284">
        <f t="shared" si="44"/>
        <v>9330286481</v>
      </c>
      <c r="O372" s="111">
        <f t="shared" si="47"/>
        <v>205123448</v>
      </c>
      <c r="P372" s="111">
        <f t="shared" si="48"/>
        <v>659902698</v>
      </c>
      <c r="Q372" s="224">
        <v>0</v>
      </c>
      <c r="S372" t="s">
        <v>25</v>
      </c>
    </row>
    <row r="373" spans="9:20">
      <c r="I373" s="210"/>
      <c r="J373" s="111">
        <f t="shared" si="37"/>
        <v>243541031</v>
      </c>
      <c r="K373" s="210" t="s">
        <v>5541</v>
      </c>
      <c r="L373" s="82">
        <v>6543000409</v>
      </c>
      <c r="M373" s="82">
        <v>3149206053</v>
      </c>
      <c r="N373" s="284">
        <f t="shared" si="44"/>
        <v>9692206462</v>
      </c>
      <c r="O373" s="111">
        <f t="shared" si="47"/>
        <v>118378950</v>
      </c>
      <c r="P373" s="111">
        <f t="shared" si="48"/>
        <v>361919981</v>
      </c>
      <c r="Q373" s="224">
        <v>0</v>
      </c>
    </row>
    <row r="374" spans="9:20">
      <c r="I374" s="210"/>
      <c r="J374" s="111">
        <f t="shared" si="37"/>
        <v>269667120</v>
      </c>
      <c r="K374" s="210" t="s">
        <v>5542</v>
      </c>
      <c r="L374" s="82">
        <v>6812667529</v>
      </c>
      <c r="M374" s="82">
        <v>3304835300</v>
      </c>
      <c r="N374" s="284">
        <f t="shared" si="44"/>
        <v>10117502829</v>
      </c>
      <c r="O374" s="111">
        <f t="shared" ref="O374:O415" si="49">M374-M373</f>
        <v>155629247</v>
      </c>
      <c r="P374" s="111">
        <f t="shared" ref="P374:P415" si="50">N374-N373</f>
        <v>425296367</v>
      </c>
      <c r="Q374" s="224">
        <v>0</v>
      </c>
      <c r="T374" t="s">
        <v>25</v>
      </c>
    </row>
    <row r="375" spans="9:20">
      <c r="I375" s="210"/>
      <c r="J375" s="111">
        <f t="shared" si="37"/>
        <v>-331071826</v>
      </c>
      <c r="K375" s="210" t="s">
        <v>5545</v>
      </c>
      <c r="L375" s="82">
        <v>6481595703</v>
      </c>
      <c r="M375" s="82">
        <v>3132578581</v>
      </c>
      <c r="N375" s="111">
        <f t="shared" si="44"/>
        <v>9614174284</v>
      </c>
      <c r="O375" s="111">
        <f t="shared" si="49"/>
        <v>-172256719</v>
      </c>
      <c r="P375" s="111">
        <f t="shared" si="50"/>
        <v>-503328545</v>
      </c>
      <c r="Q375" s="224">
        <v>0</v>
      </c>
    </row>
    <row r="376" spans="9:20">
      <c r="I376" s="210"/>
      <c r="J376" s="111">
        <f t="shared" si="37"/>
        <v>132706158</v>
      </c>
      <c r="K376" s="210" t="s">
        <v>5546</v>
      </c>
      <c r="L376" s="82">
        <v>6614301861</v>
      </c>
      <c r="M376" s="82">
        <v>3249650660</v>
      </c>
      <c r="N376" s="111">
        <f t="shared" si="44"/>
        <v>9863952521</v>
      </c>
      <c r="O376" s="111">
        <f t="shared" si="49"/>
        <v>117072079</v>
      </c>
      <c r="P376" s="111">
        <f t="shared" si="50"/>
        <v>249778237</v>
      </c>
      <c r="Q376" s="224">
        <v>0</v>
      </c>
    </row>
    <row r="377" spans="9:20">
      <c r="I377" s="210"/>
      <c r="J377" s="111">
        <f t="shared" si="37"/>
        <v>-107606296</v>
      </c>
      <c r="K377" s="210" t="s">
        <v>5558</v>
      </c>
      <c r="L377" s="82">
        <v>6506695565</v>
      </c>
      <c r="M377" s="82">
        <v>3224950981</v>
      </c>
      <c r="N377" s="111">
        <f t="shared" si="44"/>
        <v>9731646546</v>
      </c>
      <c r="O377" s="111">
        <f t="shared" si="49"/>
        <v>-24699679</v>
      </c>
      <c r="P377" s="111">
        <f t="shared" si="50"/>
        <v>-132305975</v>
      </c>
      <c r="Q377" s="224">
        <v>0</v>
      </c>
      <c r="S377" t="s">
        <v>25</v>
      </c>
    </row>
    <row r="378" spans="9:20">
      <c r="I378" s="210"/>
      <c r="J378" s="111">
        <f t="shared" si="37"/>
        <v>-109123444</v>
      </c>
      <c r="K378" s="210" t="s">
        <v>4212</v>
      </c>
      <c r="L378" s="82">
        <v>6397572121</v>
      </c>
      <c r="M378" s="82">
        <v>3157901382</v>
      </c>
      <c r="N378" s="111">
        <f t="shared" si="44"/>
        <v>9555473503</v>
      </c>
      <c r="O378" s="111">
        <f t="shared" si="49"/>
        <v>-67049599</v>
      </c>
      <c r="P378" s="111">
        <f t="shared" si="50"/>
        <v>-176173043</v>
      </c>
      <c r="Q378" s="224">
        <v>0</v>
      </c>
    </row>
    <row r="379" spans="9:20">
      <c r="I379" s="210"/>
      <c r="J379" s="111">
        <f t="shared" si="37"/>
        <v>-167747443</v>
      </c>
      <c r="K379" s="210" t="s">
        <v>5565</v>
      </c>
      <c r="L379" s="82">
        <v>6229824678</v>
      </c>
      <c r="M379" s="82">
        <v>3099029650</v>
      </c>
      <c r="N379" s="111">
        <f t="shared" si="44"/>
        <v>9328854328</v>
      </c>
      <c r="O379" s="111">
        <f t="shared" si="49"/>
        <v>-58871732</v>
      </c>
      <c r="P379" s="111">
        <f t="shared" si="50"/>
        <v>-226619175</v>
      </c>
      <c r="Q379" s="224">
        <v>0</v>
      </c>
    </row>
    <row r="380" spans="9:20">
      <c r="I380" s="210"/>
      <c r="J380" s="111">
        <f t="shared" si="37"/>
        <v>-120830327</v>
      </c>
      <c r="K380" s="210" t="s">
        <v>5566</v>
      </c>
      <c r="L380" s="82">
        <v>6108994351</v>
      </c>
      <c r="M380" s="82">
        <v>3027070745</v>
      </c>
      <c r="N380" s="111">
        <f t="shared" si="44"/>
        <v>9136065096</v>
      </c>
      <c r="O380" s="111">
        <f t="shared" si="49"/>
        <v>-71958905</v>
      </c>
      <c r="P380" s="111">
        <f t="shared" si="50"/>
        <v>-192789232</v>
      </c>
      <c r="Q380" s="224">
        <v>0</v>
      </c>
    </row>
    <row r="381" spans="9:20">
      <c r="I381" s="210"/>
      <c r="J381" s="111">
        <f t="shared" si="37"/>
        <v>-16401758</v>
      </c>
      <c r="K381" s="210" t="s">
        <v>5572</v>
      </c>
      <c r="L381" s="82">
        <v>6092592593</v>
      </c>
      <c r="M381" s="82">
        <v>2974864809</v>
      </c>
      <c r="N381" s="111">
        <f t="shared" si="44"/>
        <v>9067457402</v>
      </c>
      <c r="O381" s="111">
        <f t="shared" si="49"/>
        <v>-52205936</v>
      </c>
      <c r="P381" s="111">
        <f t="shared" si="50"/>
        <v>-68607694</v>
      </c>
      <c r="Q381" s="224">
        <v>0</v>
      </c>
    </row>
    <row r="382" spans="9:20">
      <c r="I382" s="210"/>
      <c r="J382" s="111">
        <f t="shared" si="37"/>
        <v>207407407</v>
      </c>
      <c r="K382" s="210" t="s">
        <v>5576</v>
      </c>
      <c r="L382" s="82">
        <v>6300000000</v>
      </c>
      <c r="M382" s="82">
        <v>3050000000</v>
      </c>
      <c r="N382" s="111">
        <f t="shared" si="44"/>
        <v>9350000000</v>
      </c>
      <c r="O382" s="111">
        <f t="shared" si="49"/>
        <v>75135191</v>
      </c>
      <c r="P382" s="111">
        <f t="shared" si="50"/>
        <v>282542598</v>
      </c>
      <c r="Q382" s="224">
        <v>0</v>
      </c>
    </row>
    <row r="383" spans="9:20">
      <c r="I383" s="210"/>
      <c r="J383" s="111">
        <f t="shared" si="37"/>
        <v>202537855</v>
      </c>
      <c r="K383" s="210" t="s">
        <v>5577</v>
      </c>
      <c r="L383" s="82">
        <v>6502537855</v>
      </c>
      <c r="M383" s="82">
        <v>3154215771</v>
      </c>
      <c r="N383" s="111">
        <f t="shared" si="44"/>
        <v>9656753626</v>
      </c>
      <c r="O383" s="111">
        <f t="shared" si="49"/>
        <v>104215771</v>
      </c>
      <c r="P383" s="111">
        <f t="shared" si="50"/>
        <v>306753626</v>
      </c>
      <c r="Q383" s="224">
        <v>0</v>
      </c>
    </row>
    <row r="384" spans="9:20">
      <c r="I384" s="210"/>
      <c r="J384" s="111">
        <f t="shared" si="37"/>
        <v>-202537855</v>
      </c>
      <c r="K384" s="210" t="s">
        <v>5581</v>
      </c>
      <c r="L384" s="82">
        <v>6300000000</v>
      </c>
      <c r="M384" s="82">
        <v>3050000000</v>
      </c>
      <c r="N384" s="111">
        <f t="shared" si="44"/>
        <v>9350000000</v>
      </c>
      <c r="O384" s="111">
        <f t="shared" si="49"/>
        <v>-104215771</v>
      </c>
      <c r="P384" s="111">
        <f t="shared" si="50"/>
        <v>-306753626</v>
      </c>
      <c r="Q384" s="224">
        <v>0</v>
      </c>
    </row>
    <row r="385" spans="9:21">
      <c r="I385" s="210"/>
      <c r="J385" s="111">
        <f t="shared" si="37"/>
        <v>-183005183</v>
      </c>
      <c r="K385" s="210" t="s">
        <v>5586</v>
      </c>
      <c r="L385" s="82">
        <v>6116994817</v>
      </c>
      <c r="M385" s="82">
        <v>2980615807</v>
      </c>
      <c r="N385" s="111">
        <f t="shared" si="44"/>
        <v>9097610624</v>
      </c>
      <c r="O385" s="111">
        <f t="shared" si="49"/>
        <v>-69384193</v>
      </c>
      <c r="P385" s="111">
        <f t="shared" si="50"/>
        <v>-252389376</v>
      </c>
      <c r="Q385" s="224">
        <v>0</v>
      </c>
      <c r="T385" t="s">
        <v>25</v>
      </c>
      <c r="U385" t="s">
        <v>25</v>
      </c>
    </row>
    <row r="386" spans="9:21">
      <c r="I386" s="210"/>
      <c r="J386" s="111">
        <f t="shared" si="37"/>
        <v>168141898</v>
      </c>
      <c r="K386" s="210" t="s">
        <v>5588</v>
      </c>
      <c r="L386" s="82">
        <v>6285136715</v>
      </c>
      <c r="M386" s="82">
        <v>3101902848</v>
      </c>
      <c r="N386" s="111">
        <f t="shared" si="44"/>
        <v>9387039563</v>
      </c>
      <c r="O386" s="111">
        <f t="shared" si="49"/>
        <v>121287041</v>
      </c>
      <c r="P386" s="111">
        <f t="shared" si="50"/>
        <v>289428939</v>
      </c>
      <c r="Q386" s="224">
        <v>0</v>
      </c>
    </row>
    <row r="387" spans="9:21">
      <c r="I387" s="210"/>
      <c r="J387" s="111">
        <f t="shared" si="37"/>
        <v>-34275406</v>
      </c>
      <c r="K387" s="210" t="s">
        <v>5589</v>
      </c>
      <c r="L387" s="82">
        <v>6250861309</v>
      </c>
      <c r="M387" s="82">
        <v>3198478808</v>
      </c>
      <c r="N387" s="111">
        <f t="shared" si="44"/>
        <v>9449340117</v>
      </c>
      <c r="O387" s="111">
        <f t="shared" si="49"/>
        <v>96575960</v>
      </c>
      <c r="P387" s="111">
        <f t="shared" si="50"/>
        <v>62300554</v>
      </c>
      <c r="Q387" s="224">
        <v>0</v>
      </c>
    </row>
    <row r="388" spans="9:21">
      <c r="I388" s="210"/>
      <c r="J388" s="111">
        <f t="shared" si="37"/>
        <v>-53341821</v>
      </c>
      <c r="K388" s="210" t="s">
        <v>5590</v>
      </c>
      <c r="L388" s="82">
        <v>6197519488</v>
      </c>
      <c r="M388" s="82">
        <v>3314399558</v>
      </c>
      <c r="N388" s="111">
        <f t="shared" si="44"/>
        <v>9511919046</v>
      </c>
      <c r="O388" s="111">
        <f t="shared" si="49"/>
        <v>115920750</v>
      </c>
      <c r="P388" s="111">
        <f t="shared" si="50"/>
        <v>62578929</v>
      </c>
      <c r="Q388" s="224">
        <v>0</v>
      </c>
    </row>
    <row r="389" spans="9:21">
      <c r="I389" s="210"/>
      <c r="J389" s="111">
        <f t="shared" si="37"/>
        <v>-70853488</v>
      </c>
      <c r="K389" s="210" t="s">
        <v>5591</v>
      </c>
      <c r="L389" s="82">
        <v>6126666000</v>
      </c>
      <c r="M389" s="82">
        <v>3341157354</v>
      </c>
      <c r="N389" s="111">
        <f t="shared" si="44"/>
        <v>9467823354</v>
      </c>
      <c r="O389" s="111">
        <f t="shared" si="49"/>
        <v>26757796</v>
      </c>
      <c r="P389" s="111">
        <f t="shared" si="50"/>
        <v>-44095692</v>
      </c>
      <c r="Q389" s="224">
        <v>0</v>
      </c>
    </row>
    <row r="390" spans="9:21">
      <c r="I390" s="269" t="s">
        <v>5597</v>
      </c>
      <c r="J390" s="92">
        <f>L390-L389+98469400</f>
        <v>113425690</v>
      </c>
      <c r="K390" s="269" t="s">
        <v>5580</v>
      </c>
      <c r="L390" s="270">
        <v>6141622290</v>
      </c>
      <c r="M390" s="270">
        <v>3374346152</v>
      </c>
      <c r="N390" s="92">
        <f t="shared" si="44"/>
        <v>9515968442</v>
      </c>
      <c r="O390" s="92">
        <f>M390-M389+683050</f>
        <v>33871848</v>
      </c>
      <c r="P390" s="92">
        <f>N390-N389+98469400+683050</f>
        <v>147297538</v>
      </c>
      <c r="Q390" s="224">
        <f>-98469400-683050</f>
        <v>-99152450</v>
      </c>
    </row>
    <row r="391" spans="9:21">
      <c r="I391" s="210"/>
      <c r="J391" s="111">
        <f t="shared" si="37"/>
        <v>174895820</v>
      </c>
      <c r="K391" s="210" t="s">
        <v>5578</v>
      </c>
      <c r="L391" s="82">
        <v>6316518110</v>
      </c>
      <c r="M391" s="82">
        <v>3473516023</v>
      </c>
      <c r="N391" s="111">
        <f t="shared" si="44"/>
        <v>9790034133</v>
      </c>
      <c r="O391" s="111">
        <f t="shared" si="49"/>
        <v>99169871</v>
      </c>
      <c r="P391" s="111">
        <f t="shared" si="50"/>
        <v>274065691</v>
      </c>
      <c r="Q391" s="224">
        <v>0</v>
      </c>
    </row>
    <row r="392" spans="9:21">
      <c r="I392" s="210"/>
      <c r="J392" s="111">
        <f t="shared" si="37"/>
        <v>276610492</v>
      </c>
      <c r="K392" s="210" t="s">
        <v>5598</v>
      </c>
      <c r="L392" s="82">
        <v>6593128602</v>
      </c>
      <c r="M392" s="82">
        <v>3636387688</v>
      </c>
      <c r="N392" s="284">
        <f t="shared" si="44"/>
        <v>10229516290</v>
      </c>
      <c r="O392" s="111">
        <f t="shared" si="49"/>
        <v>162871665</v>
      </c>
      <c r="P392" s="111">
        <f t="shared" si="50"/>
        <v>439482157</v>
      </c>
      <c r="Q392" s="224">
        <v>0</v>
      </c>
    </row>
    <row r="393" spans="9:21">
      <c r="I393" s="210"/>
      <c r="J393" s="111">
        <f t="shared" si="37"/>
        <v>34366370</v>
      </c>
      <c r="K393" s="210" t="s">
        <v>5599</v>
      </c>
      <c r="L393" s="82">
        <v>6627494972</v>
      </c>
      <c r="M393" s="82">
        <v>3737746960</v>
      </c>
      <c r="N393" s="284">
        <f t="shared" si="44"/>
        <v>10365241932</v>
      </c>
      <c r="O393" s="111">
        <f t="shared" si="49"/>
        <v>101359272</v>
      </c>
      <c r="P393" s="111">
        <f t="shared" si="50"/>
        <v>135725642</v>
      </c>
      <c r="Q393" s="224">
        <v>0</v>
      </c>
    </row>
    <row r="394" spans="9:21">
      <c r="I394" s="210"/>
      <c r="J394" s="111">
        <f t="shared" si="37"/>
        <v>-35088651</v>
      </c>
      <c r="K394" s="210" t="s">
        <v>5600</v>
      </c>
      <c r="L394" s="82">
        <v>6592406321</v>
      </c>
      <c r="M394" s="82">
        <v>3809828043</v>
      </c>
      <c r="N394" s="284">
        <f t="shared" si="44"/>
        <v>10402234364</v>
      </c>
      <c r="O394" s="111">
        <f t="shared" si="49"/>
        <v>72081083</v>
      </c>
      <c r="P394" s="111">
        <f t="shared" si="50"/>
        <v>36992432</v>
      </c>
      <c r="Q394" s="224">
        <v>0</v>
      </c>
    </row>
    <row r="395" spans="9:21">
      <c r="I395" s="210"/>
      <c r="J395" s="111">
        <f t="shared" si="37"/>
        <v>60518657</v>
      </c>
      <c r="K395" s="210" t="s">
        <v>5602</v>
      </c>
      <c r="L395" s="82">
        <v>6652924978</v>
      </c>
      <c r="M395" s="82">
        <v>3886247065</v>
      </c>
      <c r="N395" s="35">
        <f t="shared" si="44"/>
        <v>10539172043</v>
      </c>
      <c r="O395" s="111">
        <f t="shared" si="49"/>
        <v>76419022</v>
      </c>
      <c r="P395" s="111">
        <f t="shared" si="50"/>
        <v>136937679</v>
      </c>
      <c r="Q395" s="224">
        <v>0</v>
      </c>
    </row>
    <row r="396" spans="9:21">
      <c r="I396" s="210"/>
      <c r="J396" s="111">
        <f t="shared" si="37"/>
        <v>-157208317</v>
      </c>
      <c r="K396" s="210" t="s">
        <v>5603</v>
      </c>
      <c r="L396" s="82">
        <v>6495716661</v>
      </c>
      <c r="M396" s="82">
        <v>3847093958</v>
      </c>
      <c r="N396" s="111">
        <f t="shared" si="44"/>
        <v>10342810619</v>
      </c>
      <c r="O396" s="111">
        <f t="shared" si="49"/>
        <v>-39153107</v>
      </c>
      <c r="P396" s="111">
        <f t="shared" si="50"/>
        <v>-196361424</v>
      </c>
      <c r="Q396" s="224">
        <v>0</v>
      </c>
    </row>
    <row r="397" spans="9:21">
      <c r="I397" s="210"/>
      <c r="J397" s="111">
        <f t="shared" si="37"/>
        <v>-223145870</v>
      </c>
      <c r="K397" s="210" t="s">
        <v>5604</v>
      </c>
      <c r="L397" s="82">
        <v>6272570791</v>
      </c>
      <c r="M397" s="82">
        <v>3722276044</v>
      </c>
      <c r="N397" s="111">
        <f t="shared" si="44"/>
        <v>9994846835</v>
      </c>
      <c r="O397" s="111">
        <f t="shared" si="49"/>
        <v>-124817914</v>
      </c>
      <c r="P397" s="111">
        <f t="shared" si="50"/>
        <v>-347963784</v>
      </c>
      <c r="Q397" s="224">
        <v>0</v>
      </c>
    </row>
    <row r="398" spans="9:21">
      <c r="I398" s="210"/>
      <c r="J398" s="111">
        <f t="shared" si="37"/>
        <v>-227530904</v>
      </c>
      <c r="K398" s="210" t="s">
        <v>5579</v>
      </c>
      <c r="L398" s="82">
        <v>6045039887</v>
      </c>
      <c r="M398" s="82">
        <v>3588931144</v>
      </c>
      <c r="N398" s="111">
        <f t="shared" si="44"/>
        <v>9633971031</v>
      </c>
      <c r="O398" s="111">
        <f t="shared" si="49"/>
        <v>-133344900</v>
      </c>
      <c r="P398" s="111">
        <f t="shared" si="50"/>
        <v>-360875804</v>
      </c>
      <c r="Q398" s="224">
        <v>0</v>
      </c>
    </row>
    <row r="399" spans="9:21">
      <c r="I399" s="210"/>
      <c r="J399" s="111">
        <f t="shared" si="37"/>
        <v>109503474</v>
      </c>
      <c r="K399" s="210" t="s">
        <v>5607</v>
      </c>
      <c r="L399" s="82">
        <v>6154543361</v>
      </c>
      <c r="M399" s="82">
        <v>3629118507</v>
      </c>
      <c r="N399" s="111">
        <f t="shared" si="44"/>
        <v>9783661868</v>
      </c>
      <c r="O399" s="111">
        <f t="shared" si="49"/>
        <v>40187363</v>
      </c>
      <c r="P399" s="111">
        <f t="shared" si="50"/>
        <v>149690837</v>
      </c>
      <c r="Q399" s="224">
        <v>0</v>
      </c>
    </row>
    <row r="400" spans="9:21">
      <c r="I400" s="210"/>
      <c r="J400" s="111">
        <f t="shared" si="37"/>
        <v>-644129068</v>
      </c>
      <c r="K400" s="210" t="s">
        <v>5608</v>
      </c>
      <c r="L400" s="82">
        <v>5510414293</v>
      </c>
      <c r="M400" s="82">
        <v>3254206558</v>
      </c>
      <c r="N400" s="111">
        <f t="shared" si="44"/>
        <v>8764620851</v>
      </c>
      <c r="O400" s="111">
        <f t="shared" si="49"/>
        <v>-374911949</v>
      </c>
      <c r="P400" s="111">
        <f t="shared" si="50"/>
        <v>-1019041017</v>
      </c>
      <c r="Q400" s="224">
        <v>0</v>
      </c>
      <c r="U400" t="s">
        <v>25</v>
      </c>
    </row>
    <row r="401" spans="9:17">
      <c r="I401" s="210"/>
      <c r="J401" s="111">
        <f t="shared" si="37"/>
        <v>257585707</v>
      </c>
      <c r="K401" s="210" t="s">
        <v>5611</v>
      </c>
      <c r="L401" s="82">
        <v>5768000000</v>
      </c>
      <c r="M401" s="82">
        <v>3381000000</v>
      </c>
      <c r="N401" s="111">
        <f t="shared" si="44"/>
        <v>9149000000</v>
      </c>
      <c r="O401" s="111">
        <f t="shared" si="49"/>
        <v>126793442</v>
      </c>
      <c r="P401" s="111">
        <f t="shared" si="50"/>
        <v>384379149</v>
      </c>
      <c r="Q401" s="224">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4">
        <v>0</v>
      </c>
    </row>
    <row r="403" spans="9:17">
      <c r="I403" s="210"/>
      <c r="J403" s="111">
        <f t="shared" si="37"/>
        <v>-150000000</v>
      </c>
      <c r="K403" s="210" t="s">
        <v>5612</v>
      </c>
      <c r="L403" s="82">
        <v>5450000000</v>
      </c>
      <c r="M403" s="82">
        <v>3100000000</v>
      </c>
      <c r="N403" s="111">
        <f t="shared" si="44"/>
        <v>8550000000</v>
      </c>
      <c r="O403" s="111">
        <f t="shared" si="49"/>
        <v>-150000000</v>
      </c>
      <c r="P403" s="111">
        <f t="shared" si="50"/>
        <v>-300000000</v>
      </c>
      <c r="Q403" s="224">
        <v>0</v>
      </c>
    </row>
    <row r="404" spans="9:17">
      <c r="I404" s="210"/>
      <c r="J404" s="111">
        <f t="shared" si="37"/>
        <v>-150000000</v>
      </c>
      <c r="K404" s="210" t="s">
        <v>5614</v>
      </c>
      <c r="L404" s="82">
        <v>5300000000</v>
      </c>
      <c r="M404" s="82">
        <v>3050000000</v>
      </c>
      <c r="N404" s="111">
        <f t="shared" si="44"/>
        <v>8350000000</v>
      </c>
      <c r="O404" s="111">
        <f t="shared" si="49"/>
        <v>-50000000</v>
      </c>
      <c r="P404" s="111">
        <f t="shared" si="50"/>
        <v>-200000000</v>
      </c>
      <c r="Q404" s="224">
        <v>0</v>
      </c>
    </row>
    <row r="405" spans="9:17">
      <c r="I405" s="210"/>
      <c r="J405" s="111">
        <f t="shared" si="37"/>
        <v>-150000000</v>
      </c>
      <c r="K405" s="210" t="s">
        <v>5616</v>
      </c>
      <c r="L405" s="82">
        <v>5150000000</v>
      </c>
      <c r="M405" s="82">
        <v>3000000000</v>
      </c>
      <c r="N405" s="111">
        <f t="shared" si="44"/>
        <v>8150000000</v>
      </c>
      <c r="O405" s="111">
        <f t="shared" si="49"/>
        <v>-50000000</v>
      </c>
      <c r="P405" s="111">
        <f t="shared" si="50"/>
        <v>-200000000</v>
      </c>
      <c r="Q405" s="224">
        <v>0</v>
      </c>
    </row>
    <row r="406" spans="9:17">
      <c r="I406" s="210"/>
      <c r="J406" s="111">
        <f t="shared" si="37"/>
        <v>-135453928</v>
      </c>
      <c r="K406" s="210" t="s">
        <v>5619</v>
      </c>
      <c r="L406" s="82">
        <v>5014546072</v>
      </c>
      <c r="M406" s="82">
        <v>2987995133</v>
      </c>
      <c r="N406" s="111">
        <f t="shared" si="44"/>
        <v>8002541205</v>
      </c>
      <c r="O406" s="111">
        <f t="shared" si="49"/>
        <v>-12004867</v>
      </c>
      <c r="P406" s="111">
        <f t="shared" si="50"/>
        <v>-147458795</v>
      </c>
      <c r="Q406" s="224">
        <v>0</v>
      </c>
    </row>
    <row r="407" spans="9:17">
      <c r="I407" s="210"/>
      <c r="J407" s="111">
        <f t="shared" si="37"/>
        <v>241706477</v>
      </c>
      <c r="K407" s="210" t="s">
        <v>5621</v>
      </c>
      <c r="L407" s="82">
        <v>5256252549</v>
      </c>
      <c r="M407" s="82">
        <v>3103570482</v>
      </c>
      <c r="N407" s="111">
        <f t="shared" si="44"/>
        <v>8359823031</v>
      </c>
      <c r="O407" s="111">
        <f t="shared" si="49"/>
        <v>115575349</v>
      </c>
      <c r="P407" s="111">
        <f t="shared" si="50"/>
        <v>357281826</v>
      </c>
      <c r="Q407" s="224">
        <v>0</v>
      </c>
    </row>
    <row r="408" spans="9:17">
      <c r="I408" s="210"/>
      <c r="J408" s="111">
        <f t="shared" si="37"/>
        <v>251475479</v>
      </c>
      <c r="K408" s="210" t="s">
        <v>5622</v>
      </c>
      <c r="L408" s="82">
        <v>5507728028</v>
      </c>
      <c r="M408" s="82">
        <v>3251586232</v>
      </c>
      <c r="N408" s="111">
        <f t="shared" si="44"/>
        <v>8759314260</v>
      </c>
      <c r="O408" s="111">
        <f t="shared" si="49"/>
        <v>148015750</v>
      </c>
      <c r="P408" s="111">
        <f t="shared" si="50"/>
        <v>399491229</v>
      </c>
      <c r="Q408" s="224">
        <v>0</v>
      </c>
    </row>
    <row r="409" spans="9:17">
      <c r="I409" s="210"/>
      <c r="J409" s="111">
        <f t="shared" si="37"/>
        <v>-207728028</v>
      </c>
      <c r="K409" s="210" t="s">
        <v>5623</v>
      </c>
      <c r="L409" s="82">
        <v>5300000000</v>
      </c>
      <c r="M409" s="82">
        <v>3150000000</v>
      </c>
      <c r="N409" s="111">
        <f t="shared" si="44"/>
        <v>8450000000</v>
      </c>
      <c r="O409" s="111">
        <f t="shared" si="49"/>
        <v>-101586232</v>
      </c>
      <c r="P409" s="111">
        <f t="shared" si="50"/>
        <v>-309314260</v>
      </c>
      <c r="Q409" s="224">
        <v>0</v>
      </c>
    </row>
    <row r="410" spans="9:17">
      <c r="I410" s="210"/>
      <c r="J410" s="111">
        <f t="shared" si="37"/>
        <v>-178432621</v>
      </c>
      <c r="K410" s="210" t="s">
        <v>5626</v>
      </c>
      <c r="L410" s="82">
        <v>5121567379</v>
      </c>
      <c r="M410" s="82">
        <v>3018847808</v>
      </c>
      <c r="N410" s="111">
        <f t="shared" si="44"/>
        <v>8140415187</v>
      </c>
      <c r="O410" s="111">
        <f t="shared" si="49"/>
        <v>-131152192</v>
      </c>
      <c r="P410" s="111">
        <f t="shared" si="50"/>
        <v>-309584813</v>
      </c>
      <c r="Q410" s="224">
        <v>0</v>
      </c>
    </row>
    <row r="411" spans="9:17">
      <c r="I411" s="210"/>
      <c r="J411" s="111">
        <f t="shared" si="37"/>
        <v>96814281</v>
      </c>
      <c r="K411" s="210" t="s">
        <v>5628</v>
      </c>
      <c r="L411" s="82">
        <v>5218381660</v>
      </c>
      <c r="M411" s="82">
        <v>3066844882</v>
      </c>
      <c r="N411" s="111">
        <f t="shared" si="44"/>
        <v>8285226542</v>
      </c>
      <c r="O411" s="111">
        <f t="shared" si="49"/>
        <v>47997074</v>
      </c>
      <c r="P411" s="111">
        <f t="shared" si="50"/>
        <v>144811355</v>
      </c>
      <c r="Q411" s="224">
        <v>0</v>
      </c>
    </row>
    <row r="412" spans="9:17">
      <c r="I412" s="210"/>
      <c r="J412" s="111">
        <f t="shared" si="37"/>
        <v>-3247574</v>
      </c>
      <c r="K412" s="210" t="s">
        <v>5631</v>
      </c>
      <c r="L412" s="82">
        <v>5215134086</v>
      </c>
      <c r="M412" s="82">
        <v>3078145871</v>
      </c>
      <c r="N412" s="111">
        <f t="shared" si="44"/>
        <v>8293279957</v>
      </c>
      <c r="O412" s="111">
        <f t="shared" si="49"/>
        <v>11300989</v>
      </c>
      <c r="P412" s="111">
        <f t="shared" si="50"/>
        <v>8053415</v>
      </c>
      <c r="Q412" s="224">
        <v>0</v>
      </c>
    </row>
    <row r="413" spans="9:17">
      <c r="I413" s="210"/>
      <c r="J413" s="111">
        <f t="shared" si="37"/>
        <v>5019616</v>
      </c>
      <c r="K413" s="210" t="s">
        <v>5632</v>
      </c>
      <c r="L413" s="82">
        <v>5220153702</v>
      </c>
      <c r="M413" s="82">
        <v>3087043354</v>
      </c>
      <c r="N413" s="111">
        <f t="shared" si="44"/>
        <v>8307197056</v>
      </c>
      <c r="O413" s="111">
        <f t="shared" si="49"/>
        <v>8897483</v>
      </c>
      <c r="P413" s="111">
        <f t="shared" si="50"/>
        <v>13917099</v>
      </c>
      <c r="Q413" s="224">
        <v>0</v>
      </c>
    </row>
    <row r="414" spans="9:17">
      <c r="I414" s="210"/>
      <c r="J414" s="111">
        <f t="shared" si="37"/>
        <v>-62469210</v>
      </c>
      <c r="K414" s="210" t="s">
        <v>5633</v>
      </c>
      <c r="L414" s="82">
        <v>5157684492</v>
      </c>
      <c r="M414" s="82">
        <v>3055766920</v>
      </c>
      <c r="N414" s="111">
        <f t="shared" si="44"/>
        <v>8213451412</v>
      </c>
      <c r="O414" s="111">
        <f t="shared" si="49"/>
        <v>-31276434</v>
      </c>
      <c r="P414" s="111">
        <f t="shared" si="50"/>
        <v>-93745644</v>
      </c>
      <c r="Q414" s="224">
        <v>0</v>
      </c>
    </row>
    <row r="415" spans="9:17">
      <c r="I415" s="210"/>
      <c r="J415" s="111">
        <f t="shared" si="37"/>
        <v>-172184470</v>
      </c>
      <c r="K415" s="210" t="s">
        <v>5636</v>
      </c>
      <c r="L415" s="82">
        <v>4985500022</v>
      </c>
      <c r="M415" s="82">
        <v>3006602536</v>
      </c>
      <c r="N415" s="111">
        <f t="shared" si="44"/>
        <v>7992102558</v>
      </c>
      <c r="O415" s="111">
        <f t="shared" si="49"/>
        <v>-49164384</v>
      </c>
      <c r="P415" s="111">
        <f t="shared" si="50"/>
        <v>-221348854</v>
      </c>
      <c r="Q415" s="224">
        <v>0</v>
      </c>
    </row>
    <row r="416" spans="9:17">
      <c r="I416" s="210"/>
      <c r="J416" s="111">
        <f t="shared" ref="J416:J559" si="51">L416-L415</f>
        <v>147652909</v>
      </c>
      <c r="K416" s="210" t="s">
        <v>5637</v>
      </c>
      <c r="L416" s="82">
        <v>5133152931</v>
      </c>
      <c r="M416" s="82">
        <v>3092223617</v>
      </c>
      <c r="N416" s="111">
        <f t="shared" ref="N416:N462" si="52">L416+M416</f>
        <v>8225376548</v>
      </c>
      <c r="O416" s="111">
        <f t="shared" ref="O416:O439" si="53">M416-M415</f>
        <v>85621081</v>
      </c>
      <c r="P416" s="111">
        <f t="shared" ref="P416:P439" si="54">N416-N415</f>
        <v>233273990</v>
      </c>
      <c r="Q416" s="224">
        <v>0</v>
      </c>
    </row>
    <row r="417" spans="9:21">
      <c r="I417" s="210"/>
      <c r="J417" s="111">
        <f t="shared" si="51"/>
        <v>189045597</v>
      </c>
      <c r="K417" s="210" t="s">
        <v>5638</v>
      </c>
      <c r="L417" s="82">
        <v>5322198528</v>
      </c>
      <c r="M417" s="82">
        <v>3215671484</v>
      </c>
      <c r="N417" s="111">
        <f t="shared" si="52"/>
        <v>8537870012</v>
      </c>
      <c r="O417" s="111">
        <f t="shared" si="53"/>
        <v>123447867</v>
      </c>
      <c r="P417" s="111">
        <f t="shared" si="54"/>
        <v>312493464</v>
      </c>
      <c r="Q417" s="224">
        <v>0</v>
      </c>
    </row>
    <row r="418" spans="9:21">
      <c r="I418" s="210"/>
      <c r="J418" s="111">
        <f t="shared" si="51"/>
        <v>-31187186</v>
      </c>
      <c r="K418" s="210" t="s">
        <v>5643</v>
      </c>
      <c r="L418" s="82">
        <v>5291011342</v>
      </c>
      <c r="M418" s="82">
        <v>3221615755</v>
      </c>
      <c r="N418" s="111">
        <f t="shared" si="52"/>
        <v>8512627097</v>
      </c>
      <c r="O418" s="111">
        <f t="shared" si="53"/>
        <v>5944271</v>
      </c>
      <c r="P418" s="111">
        <f t="shared" si="54"/>
        <v>-25242915</v>
      </c>
      <c r="Q418" s="224">
        <v>0</v>
      </c>
    </row>
    <row r="419" spans="9:21">
      <c r="I419" s="210"/>
      <c r="J419" s="111">
        <f t="shared" si="51"/>
        <v>153649923</v>
      </c>
      <c r="K419" s="210" t="s">
        <v>5644</v>
      </c>
      <c r="L419" s="82">
        <v>5444661265</v>
      </c>
      <c r="M419" s="82">
        <v>3324294604</v>
      </c>
      <c r="N419" s="111">
        <f t="shared" si="52"/>
        <v>8768955869</v>
      </c>
      <c r="O419" s="111">
        <f t="shared" si="53"/>
        <v>102678849</v>
      </c>
      <c r="P419" s="111">
        <f t="shared" si="54"/>
        <v>256328772</v>
      </c>
      <c r="Q419" s="224">
        <v>0</v>
      </c>
    </row>
    <row r="420" spans="9:21">
      <c r="I420" s="210"/>
      <c r="J420" s="111">
        <f t="shared" si="51"/>
        <v>137145554</v>
      </c>
      <c r="K420" s="210" t="s">
        <v>4185</v>
      </c>
      <c r="L420" s="82">
        <v>5581806819</v>
      </c>
      <c r="M420" s="82">
        <v>3412581549</v>
      </c>
      <c r="N420" s="111">
        <f t="shared" si="52"/>
        <v>8994388368</v>
      </c>
      <c r="O420" s="111">
        <f t="shared" si="53"/>
        <v>88286945</v>
      </c>
      <c r="P420" s="111">
        <f t="shared" si="54"/>
        <v>225432499</v>
      </c>
      <c r="Q420" s="224">
        <v>0</v>
      </c>
    </row>
    <row r="421" spans="9:21">
      <c r="I421" s="210"/>
      <c r="J421" s="111">
        <f t="shared" si="51"/>
        <v>193856034</v>
      </c>
      <c r="K421" s="210" t="s">
        <v>5646</v>
      </c>
      <c r="L421" s="82">
        <v>5775662853</v>
      </c>
      <c r="M421" s="82">
        <v>3525253290</v>
      </c>
      <c r="N421" s="111">
        <f t="shared" si="52"/>
        <v>9300916143</v>
      </c>
      <c r="O421" s="111">
        <f t="shared" si="53"/>
        <v>112671741</v>
      </c>
      <c r="P421" s="111">
        <f t="shared" si="54"/>
        <v>306527775</v>
      </c>
      <c r="Q421" s="224">
        <v>0</v>
      </c>
    </row>
    <row r="422" spans="9:21">
      <c r="I422" s="210"/>
      <c r="J422" s="111">
        <f t="shared" si="51"/>
        <v>74337147</v>
      </c>
      <c r="K422" s="210" t="s">
        <v>5648</v>
      </c>
      <c r="L422" s="82">
        <v>5850000000</v>
      </c>
      <c r="M422" s="82">
        <v>3570000000</v>
      </c>
      <c r="N422" s="111">
        <f t="shared" si="52"/>
        <v>9420000000</v>
      </c>
      <c r="O422" s="111">
        <f t="shared" si="53"/>
        <v>44746710</v>
      </c>
      <c r="P422" s="111">
        <f t="shared" si="54"/>
        <v>119083857</v>
      </c>
      <c r="Q422" s="224">
        <v>0</v>
      </c>
    </row>
    <row r="423" spans="9:21">
      <c r="I423" s="210"/>
      <c r="J423" s="111">
        <f t="shared" si="51"/>
        <v>50000000</v>
      </c>
      <c r="K423" s="210" t="s">
        <v>5649</v>
      </c>
      <c r="L423" s="82">
        <v>5900000000</v>
      </c>
      <c r="M423" s="82">
        <v>3600000000</v>
      </c>
      <c r="N423" s="111">
        <f t="shared" si="52"/>
        <v>9500000000</v>
      </c>
      <c r="O423" s="111">
        <f t="shared" si="53"/>
        <v>30000000</v>
      </c>
      <c r="P423" s="111">
        <f t="shared" si="54"/>
        <v>80000000</v>
      </c>
      <c r="Q423" s="224">
        <v>0</v>
      </c>
    </row>
    <row r="424" spans="9:21">
      <c r="I424" s="210"/>
      <c r="J424" s="111">
        <f t="shared" si="51"/>
        <v>157818490</v>
      </c>
      <c r="K424" s="210" t="s">
        <v>5650</v>
      </c>
      <c r="L424" s="82">
        <v>6057818490</v>
      </c>
      <c r="M424" s="82">
        <v>3674629787</v>
      </c>
      <c r="N424" s="111">
        <f t="shared" si="52"/>
        <v>9732448277</v>
      </c>
      <c r="O424" s="111">
        <f t="shared" si="53"/>
        <v>74629787</v>
      </c>
      <c r="P424" s="111">
        <f t="shared" si="54"/>
        <v>232448277</v>
      </c>
      <c r="Q424" s="224">
        <v>0</v>
      </c>
    </row>
    <row r="425" spans="9:21">
      <c r="I425" s="210"/>
      <c r="J425" s="111">
        <f t="shared" si="51"/>
        <v>132857927</v>
      </c>
      <c r="K425" s="210" t="s">
        <v>5662</v>
      </c>
      <c r="L425" s="82">
        <v>6190676417</v>
      </c>
      <c r="M425" s="82">
        <v>3729667303</v>
      </c>
      <c r="N425" s="111">
        <f t="shared" si="52"/>
        <v>9920343720</v>
      </c>
      <c r="O425" s="111">
        <f t="shared" si="53"/>
        <v>55037516</v>
      </c>
      <c r="P425" s="111">
        <f t="shared" si="54"/>
        <v>187895443</v>
      </c>
      <c r="Q425" s="224">
        <v>0</v>
      </c>
    </row>
    <row r="426" spans="9:21">
      <c r="I426" s="210"/>
      <c r="J426" s="111">
        <f t="shared" si="51"/>
        <v>91232594</v>
      </c>
      <c r="K426" s="210" t="s">
        <v>5663</v>
      </c>
      <c r="L426" s="82">
        <v>6281909011</v>
      </c>
      <c r="M426" s="82">
        <v>3762010921</v>
      </c>
      <c r="N426" s="111">
        <f t="shared" si="52"/>
        <v>10043919932</v>
      </c>
      <c r="O426" s="111">
        <f t="shared" si="53"/>
        <v>32343618</v>
      </c>
      <c r="P426" s="111">
        <f t="shared" si="54"/>
        <v>123576212</v>
      </c>
      <c r="Q426" s="224">
        <v>0</v>
      </c>
    </row>
    <row r="427" spans="9:21">
      <c r="I427" s="210"/>
      <c r="J427" s="111">
        <f t="shared" si="51"/>
        <v>164439952</v>
      </c>
      <c r="K427" s="210" t="s">
        <v>5665</v>
      </c>
      <c r="L427" s="82">
        <v>6446348963</v>
      </c>
      <c r="M427" s="82">
        <v>3845614899</v>
      </c>
      <c r="N427" s="111">
        <f t="shared" si="52"/>
        <v>10291963862</v>
      </c>
      <c r="O427" s="111">
        <f t="shared" si="53"/>
        <v>83603978</v>
      </c>
      <c r="P427" s="111">
        <f t="shared" si="54"/>
        <v>248043930</v>
      </c>
      <c r="Q427" s="224">
        <v>0</v>
      </c>
      <c r="S427" t="s">
        <v>25</v>
      </c>
    </row>
    <row r="428" spans="9:21">
      <c r="I428" s="210"/>
      <c r="J428" s="111">
        <f t="shared" si="51"/>
        <v>-371447429</v>
      </c>
      <c r="K428" s="210" t="s">
        <v>5669</v>
      </c>
      <c r="L428" s="82">
        <v>6074901534</v>
      </c>
      <c r="M428" s="82">
        <v>3651455158</v>
      </c>
      <c r="N428" s="111">
        <f t="shared" si="52"/>
        <v>9726356692</v>
      </c>
      <c r="O428" s="111">
        <f t="shared" si="53"/>
        <v>-194159741</v>
      </c>
      <c r="P428" s="111">
        <f t="shared" si="54"/>
        <v>-565607170</v>
      </c>
      <c r="Q428" s="224">
        <v>0</v>
      </c>
      <c r="U428" t="s">
        <v>25</v>
      </c>
    </row>
    <row r="429" spans="9:21">
      <c r="I429" s="210"/>
      <c r="J429" s="111">
        <f t="shared" si="51"/>
        <v>10480171</v>
      </c>
      <c r="K429" s="210" t="s">
        <v>5671</v>
      </c>
      <c r="L429" s="82">
        <v>6085381705</v>
      </c>
      <c r="M429" s="82">
        <v>3519278868</v>
      </c>
      <c r="N429" s="111">
        <f t="shared" si="52"/>
        <v>9604660573</v>
      </c>
      <c r="O429" s="111">
        <f t="shared" si="53"/>
        <v>-132176290</v>
      </c>
      <c r="P429" s="111">
        <f t="shared" si="54"/>
        <v>-121696119</v>
      </c>
      <c r="Q429" s="224">
        <v>0</v>
      </c>
    </row>
    <row r="430" spans="9:21">
      <c r="I430" s="210"/>
      <c r="J430" s="111">
        <f t="shared" si="51"/>
        <v>78259044</v>
      </c>
      <c r="K430" s="210" t="s">
        <v>5675</v>
      </c>
      <c r="L430" s="82">
        <v>6163640749</v>
      </c>
      <c r="M430" s="82">
        <v>3565355810</v>
      </c>
      <c r="N430" s="111">
        <f t="shared" si="52"/>
        <v>9728996559</v>
      </c>
      <c r="O430" s="111">
        <f t="shared" si="53"/>
        <v>46076942</v>
      </c>
      <c r="P430" s="111">
        <f t="shared" si="54"/>
        <v>124335986</v>
      </c>
      <c r="Q430" s="224">
        <v>0</v>
      </c>
      <c r="S430" t="s">
        <v>25</v>
      </c>
    </row>
    <row r="431" spans="9:21">
      <c r="I431" s="210"/>
      <c r="J431" s="111">
        <f t="shared" si="51"/>
        <v>49454223</v>
      </c>
      <c r="K431" s="210" t="s">
        <v>5679</v>
      </c>
      <c r="L431" s="82">
        <v>6213094972</v>
      </c>
      <c r="M431" s="82">
        <v>3626911016</v>
      </c>
      <c r="N431" s="111">
        <f t="shared" si="52"/>
        <v>9840005988</v>
      </c>
      <c r="O431" s="111">
        <f t="shared" si="53"/>
        <v>61555206</v>
      </c>
      <c r="P431" s="111">
        <f t="shared" si="54"/>
        <v>111009429</v>
      </c>
      <c r="Q431" s="224">
        <v>0</v>
      </c>
    </row>
    <row r="432" spans="9:21">
      <c r="I432" s="210"/>
      <c r="J432" s="111">
        <f t="shared" si="51"/>
        <v>132208320</v>
      </c>
      <c r="K432" s="210" t="s">
        <v>5681</v>
      </c>
      <c r="L432" s="82">
        <v>6345303292</v>
      </c>
      <c r="M432" s="82">
        <v>3665122650</v>
      </c>
      <c r="N432" s="111">
        <f t="shared" si="52"/>
        <v>10010425942</v>
      </c>
      <c r="O432" s="111">
        <f t="shared" si="53"/>
        <v>38211634</v>
      </c>
      <c r="P432" s="111">
        <f t="shared" si="54"/>
        <v>170419954</v>
      </c>
      <c r="Q432" s="224">
        <v>0</v>
      </c>
    </row>
    <row r="433" spans="9:20">
      <c r="I433" s="210"/>
      <c r="J433" s="111">
        <f t="shared" si="51"/>
        <v>-262982510</v>
      </c>
      <c r="K433" s="210" t="s">
        <v>5685</v>
      </c>
      <c r="L433" s="82">
        <v>6082320782</v>
      </c>
      <c r="M433" s="82">
        <v>3526148342</v>
      </c>
      <c r="N433" s="111">
        <f t="shared" si="52"/>
        <v>9608469124</v>
      </c>
      <c r="O433" s="111">
        <f t="shared" si="53"/>
        <v>-138974308</v>
      </c>
      <c r="P433" s="111">
        <f t="shared" si="54"/>
        <v>-401956818</v>
      </c>
      <c r="Q433" s="224">
        <v>0</v>
      </c>
    </row>
    <row r="434" spans="9:20">
      <c r="I434" s="210"/>
      <c r="J434" s="111">
        <f t="shared" si="51"/>
        <v>-222123228</v>
      </c>
      <c r="K434" s="210" t="s">
        <v>5687</v>
      </c>
      <c r="L434" s="82">
        <v>5860197554</v>
      </c>
      <c r="M434" s="82">
        <v>3397457932</v>
      </c>
      <c r="N434" s="111">
        <f t="shared" si="52"/>
        <v>9257655486</v>
      </c>
      <c r="O434" s="111">
        <f t="shared" si="53"/>
        <v>-128690410</v>
      </c>
      <c r="P434" s="111">
        <f t="shared" si="54"/>
        <v>-350813638</v>
      </c>
      <c r="Q434" s="224">
        <v>0</v>
      </c>
    </row>
    <row r="435" spans="9:20">
      <c r="I435" s="210"/>
      <c r="J435" s="111">
        <f t="shared" si="51"/>
        <v>305950438</v>
      </c>
      <c r="K435" s="210" t="s">
        <v>5689</v>
      </c>
      <c r="L435" s="82">
        <v>6166147992</v>
      </c>
      <c r="M435" s="82">
        <v>3569773836</v>
      </c>
      <c r="N435" s="111">
        <f t="shared" si="52"/>
        <v>9735921828</v>
      </c>
      <c r="O435" s="111">
        <f t="shared" si="53"/>
        <v>172315904</v>
      </c>
      <c r="P435" s="111">
        <f t="shared" si="54"/>
        <v>478266342</v>
      </c>
      <c r="Q435" s="224">
        <v>0</v>
      </c>
    </row>
    <row r="436" spans="9:20">
      <c r="I436" s="210"/>
      <c r="J436" s="111">
        <f t="shared" si="51"/>
        <v>-53034278</v>
      </c>
      <c r="K436" s="210" t="s">
        <v>5690</v>
      </c>
      <c r="L436" s="82">
        <v>6113113714</v>
      </c>
      <c r="M436" s="82">
        <v>3533315565</v>
      </c>
      <c r="N436" s="111">
        <f t="shared" si="52"/>
        <v>9646429279</v>
      </c>
      <c r="O436" s="111">
        <f t="shared" si="53"/>
        <v>-36458271</v>
      </c>
      <c r="P436" s="111">
        <f t="shared" si="54"/>
        <v>-89492549</v>
      </c>
      <c r="Q436" s="224">
        <v>0</v>
      </c>
    </row>
    <row r="437" spans="9:20">
      <c r="I437" s="210"/>
      <c r="J437" s="111">
        <f t="shared" si="51"/>
        <v>-113113714</v>
      </c>
      <c r="K437" s="210" t="s">
        <v>5692</v>
      </c>
      <c r="L437" s="82">
        <v>6000000000</v>
      </c>
      <c r="M437" s="82">
        <v>3400000000</v>
      </c>
      <c r="N437" s="111">
        <f t="shared" si="52"/>
        <v>9400000000</v>
      </c>
      <c r="O437" s="111">
        <f t="shared" si="53"/>
        <v>-133315565</v>
      </c>
      <c r="P437" s="111">
        <f t="shared" si="54"/>
        <v>-246429279</v>
      </c>
      <c r="Q437" s="224">
        <v>0</v>
      </c>
    </row>
    <row r="438" spans="9:20">
      <c r="I438" s="210"/>
      <c r="J438" s="111">
        <f t="shared" si="51"/>
        <v>95898606</v>
      </c>
      <c r="K438" s="210" t="s">
        <v>5693</v>
      </c>
      <c r="L438" s="82">
        <v>6095898606</v>
      </c>
      <c r="M438" s="82">
        <v>3519276285</v>
      </c>
      <c r="N438" s="111">
        <f t="shared" si="52"/>
        <v>9615174891</v>
      </c>
      <c r="O438" s="111">
        <f t="shared" si="53"/>
        <v>119276285</v>
      </c>
      <c r="P438" s="111">
        <f t="shared" si="54"/>
        <v>215174891</v>
      </c>
      <c r="Q438" s="224">
        <v>0</v>
      </c>
      <c r="S438" t="s">
        <v>25</v>
      </c>
    </row>
    <row r="439" spans="9:20">
      <c r="I439" s="210"/>
      <c r="J439" s="111">
        <f t="shared" si="51"/>
        <v>50657083</v>
      </c>
      <c r="K439" s="210" t="s">
        <v>5695</v>
      </c>
      <c r="L439" s="82">
        <v>6146555689</v>
      </c>
      <c r="M439" s="82">
        <v>3519245731</v>
      </c>
      <c r="N439" s="111">
        <f t="shared" si="52"/>
        <v>9665801420</v>
      </c>
      <c r="O439" s="111">
        <f t="shared" si="53"/>
        <v>-30554</v>
      </c>
      <c r="P439" s="111">
        <f t="shared" si="54"/>
        <v>50626529</v>
      </c>
      <c r="Q439" s="224">
        <v>0</v>
      </c>
    </row>
    <row r="440" spans="9:20">
      <c r="I440" s="210"/>
      <c r="J440" s="111">
        <f t="shared" si="51"/>
        <v>6703230</v>
      </c>
      <c r="K440" s="210" t="s">
        <v>5697</v>
      </c>
      <c r="L440" s="82">
        <v>6153258919</v>
      </c>
      <c r="M440" s="82">
        <v>3527498319</v>
      </c>
      <c r="N440" s="111">
        <f t="shared" si="52"/>
        <v>9680757238</v>
      </c>
      <c r="O440" s="111">
        <f t="shared" ref="O440:O462" si="55">M440-M439</f>
        <v>8252588</v>
      </c>
      <c r="P440" s="111">
        <f t="shared" ref="P440:P462" si="56">N440-N439</f>
        <v>14955818</v>
      </c>
      <c r="Q440" s="224">
        <v>0</v>
      </c>
    </row>
    <row r="441" spans="9:20">
      <c r="I441" s="210"/>
      <c r="J441" s="111">
        <f t="shared" si="51"/>
        <v>-182856601</v>
      </c>
      <c r="K441" s="210" t="s">
        <v>5699</v>
      </c>
      <c r="L441" s="82">
        <v>5970402318</v>
      </c>
      <c r="M441" s="82">
        <v>3424484714</v>
      </c>
      <c r="N441" s="111">
        <f t="shared" si="52"/>
        <v>9394887032</v>
      </c>
      <c r="O441" s="111">
        <f t="shared" si="55"/>
        <v>-103013605</v>
      </c>
      <c r="P441" s="111">
        <f t="shared" si="56"/>
        <v>-285870206</v>
      </c>
      <c r="Q441" s="224">
        <v>0</v>
      </c>
    </row>
    <row r="442" spans="9:20">
      <c r="I442" s="210"/>
      <c r="J442" s="111">
        <f t="shared" si="51"/>
        <v>-270402318</v>
      </c>
      <c r="K442" s="210" t="s">
        <v>5701</v>
      </c>
      <c r="L442" s="82">
        <v>5700000000</v>
      </c>
      <c r="M442" s="82">
        <v>3250000000</v>
      </c>
      <c r="N442" s="111">
        <f t="shared" si="52"/>
        <v>8950000000</v>
      </c>
      <c r="O442" s="111">
        <f t="shared" si="55"/>
        <v>-174484714</v>
      </c>
      <c r="P442" s="111">
        <f t="shared" si="56"/>
        <v>-444887032</v>
      </c>
      <c r="Q442" s="224">
        <v>0</v>
      </c>
    </row>
    <row r="443" spans="9:20">
      <c r="I443" s="210"/>
      <c r="J443" s="111">
        <f t="shared" si="51"/>
        <v>-200000000</v>
      </c>
      <c r="K443" s="210" t="s">
        <v>5702</v>
      </c>
      <c r="L443" s="82">
        <v>5500000000</v>
      </c>
      <c r="M443" s="82">
        <v>3150000000</v>
      </c>
      <c r="N443" s="111">
        <f t="shared" si="52"/>
        <v>8650000000</v>
      </c>
      <c r="O443" s="111">
        <f t="shared" si="55"/>
        <v>-100000000</v>
      </c>
      <c r="P443" s="111">
        <f t="shared" si="56"/>
        <v>-300000000</v>
      </c>
      <c r="Q443" s="224">
        <v>0</v>
      </c>
    </row>
    <row r="444" spans="9:20">
      <c r="I444" s="210"/>
      <c r="J444" s="111">
        <f t="shared" si="51"/>
        <v>-227767218</v>
      </c>
      <c r="K444" s="210" t="s">
        <v>5703</v>
      </c>
      <c r="L444" s="82">
        <v>5272232782</v>
      </c>
      <c r="M444" s="82">
        <v>3039233271</v>
      </c>
      <c r="N444" s="111">
        <f t="shared" si="52"/>
        <v>8311466053</v>
      </c>
      <c r="O444" s="111">
        <f t="shared" si="55"/>
        <v>-110766729</v>
      </c>
      <c r="P444" s="111">
        <f t="shared" si="56"/>
        <v>-338533947</v>
      </c>
      <c r="Q444" s="224">
        <v>0</v>
      </c>
    </row>
    <row r="445" spans="9:20">
      <c r="I445" s="210"/>
      <c r="J445" s="111">
        <f t="shared" si="51"/>
        <v>-72232782</v>
      </c>
      <c r="K445" s="210" t="s">
        <v>5713</v>
      </c>
      <c r="L445" s="82">
        <v>5200000000</v>
      </c>
      <c r="M445" s="82">
        <v>3000000000</v>
      </c>
      <c r="N445" s="111">
        <f t="shared" si="52"/>
        <v>8200000000</v>
      </c>
      <c r="O445" s="111">
        <f t="shared" si="55"/>
        <v>-39233271</v>
      </c>
      <c r="P445" s="111">
        <f t="shared" si="56"/>
        <v>-111466053</v>
      </c>
      <c r="Q445" s="224">
        <v>0</v>
      </c>
      <c r="T445" t="s">
        <v>25</v>
      </c>
    </row>
    <row r="446" spans="9:20">
      <c r="I446" s="210"/>
      <c r="J446" s="111">
        <f t="shared" si="51"/>
        <v>-100000000</v>
      </c>
      <c r="K446" s="210" t="s">
        <v>5715</v>
      </c>
      <c r="L446" s="82">
        <v>5100000000</v>
      </c>
      <c r="M446" s="82">
        <v>2900000000</v>
      </c>
      <c r="N446" s="111">
        <f t="shared" si="52"/>
        <v>8000000000</v>
      </c>
      <c r="O446" s="111">
        <f t="shared" si="55"/>
        <v>-100000000</v>
      </c>
      <c r="P446" s="111">
        <f t="shared" si="56"/>
        <v>-200000000</v>
      </c>
      <c r="Q446" s="224">
        <v>0</v>
      </c>
      <c r="T446" t="s">
        <v>25</v>
      </c>
    </row>
    <row r="447" spans="9:20">
      <c r="I447" s="210"/>
      <c r="J447" s="111">
        <f t="shared" si="51"/>
        <v>-100000000</v>
      </c>
      <c r="K447" s="210" t="s">
        <v>5716</v>
      </c>
      <c r="L447" s="82">
        <v>5000000000</v>
      </c>
      <c r="M447" s="82">
        <v>2800000000</v>
      </c>
      <c r="N447" s="111">
        <f t="shared" si="52"/>
        <v>7800000000</v>
      </c>
      <c r="O447" s="111">
        <f t="shared" si="55"/>
        <v>-100000000</v>
      </c>
      <c r="P447" s="111">
        <f t="shared" si="56"/>
        <v>-200000000</v>
      </c>
      <c r="Q447" s="224">
        <v>0</v>
      </c>
    </row>
    <row r="448" spans="9:20">
      <c r="I448" s="210"/>
      <c r="J448" s="111">
        <f t="shared" si="51"/>
        <v>-100000000</v>
      </c>
      <c r="K448" s="210" t="s">
        <v>5730</v>
      </c>
      <c r="L448" s="82">
        <v>4900000000</v>
      </c>
      <c r="M448" s="82">
        <v>2750000000</v>
      </c>
      <c r="N448" s="111">
        <f t="shared" si="52"/>
        <v>7650000000</v>
      </c>
      <c r="O448" s="111">
        <f t="shared" si="55"/>
        <v>-50000000</v>
      </c>
      <c r="P448" s="111">
        <f t="shared" si="56"/>
        <v>-150000000</v>
      </c>
      <c r="Q448" s="224">
        <v>0</v>
      </c>
    </row>
    <row r="449" spans="9:21">
      <c r="I449" s="210"/>
      <c r="J449" s="111">
        <f t="shared" si="51"/>
        <v>-100000000</v>
      </c>
      <c r="K449" s="210" t="s">
        <v>5729</v>
      </c>
      <c r="L449" s="82">
        <v>4800000000</v>
      </c>
      <c r="M449" s="82">
        <v>2700000000</v>
      </c>
      <c r="N449" s="111">
        <f t="shared" si="52"/>
        <v>7500000000</v>
      </c>
      <c r="O449" s="111">
        <f t="shared" si="55"/>
        <v>-50000000</v>
      </c>
      <c r="P449" s="111">
        <f t="shared" si="56"/>
        <v>-150000000</v>
      </c>
      <c r="Q449" s="224">
        <v>0</v>
      </c>
    </row>
    <row r="450" spans="9:21">
      <c r="I450" s="210"/>
      <c r="J450" s="111">
        <f t="shared" si="51"/>
        <v>-50000000</v>
      </c>
      <c r="K450" s="210" t="s">
        <v>5728</v>
      </c>
      <c r="L450" s="82">
        <v>4750000000</v>
      </c>
      <c r="M450" s="82">
        <v>2680000000</v>
      </c>
      <c r="N450" s="111">
        <f t="shared" si="52"/>
        <v>7430000000</v>
      </c>
      <c r="O450" s="111">
        <f t="shared" si="55"/>
        <v>-20000000</v>
      </c>
      <c r="P450" s="111">
        <f t="shared" si="56"/>
        <v>-70000000</v>
      </c>
      <c r="Q450" s="224">
        <v>0</v>
      </c>
    </row>
    <row r="451" spans="9:21">
      <c r="I451" s="210"/>
      <c r="J451" s="111">
        <f t="shared" si="51"/>
        <v>-100000000</v>
      </c>
      <c r="K451" s="210" t="s">
        <v>5719</v>
      </c>
      <c r="L451" s="82">
        <v>4650000000</v>
      </c>
      <c r="M451" s="82">
        <v>2650000000</v>
      </c>
      <c r="N451" s="111">
        <f t="shared" si="52"/>
        <v>7300000000</v>
      </c>
      <c r="O451" s="111">
        <f t="shared" si="55"/>
        <v>-30000000</v>
      </c>
      <c r="P451" s="111">
        <f t="shared" si="56"/>
        <v>-130000000</v>
      </c>
      <c r="Q451" s="224">
        <v>0</v>
      </c>
    </row>
    <row r="452" spans="9:21">
      <c r="I452" s="210"/>
      <c r="J452" s="111">
        <f t="shared" si="51"/>
        <v>-50000000</v>
      </c>
      <c r="K452" s="210" t="s">
        <v>5723</v>
      </c>
      <c r="L452" s="82">
        <v>4600000000</v>
      </c>
      <c r="M452" s="82">
        <v>2600000000</v>
      </c>
      <c r="N452" s="111">
        <f t="shared" si="52"/>
        <v>7200000000</v>
      </c>
      <c r="O452" s="111">
        <f t="shared" si="55"/>
        <v>-50000000</v>
      </c>
      <c r="P452" s="111">
        <f t="shared" si="56"/>
        <v>-100000000</v>
      </c>
      <c r="Q452" s="224">
        <v>0</v>
      </c>
    </row>
    <row r="453" spans="9:21">
      <c r="I453" s="210"/>
      <c r="J453" s="111">
        <f t="shared" si="51"/>
        <v>-100000000</v>
      </c>
      <c r="K453" s="210" t="s">
        <v>5724</v>
      </c>
      <c r="L453" s="82">
        <v>4500000000</v>
      </c>
      <c r="M453" s="82">
        <v>2500000000</v>
      </c>
      <c r="N453" s="111">
        <f t="shared" si="52"/>
        <v>7000000000</v>
      </c>
      <c r="O453" s="111">
        <f t="shared" si="55"/>
        <v>-100000000</v>
      </c>
      <c r="P453" s="111">
        <f t="shared" si="56"/>
        <v>-200000000</v>
      </c>
      <c r="Q453" s="224">
        <v>0</v>
      </c>
    </row>
    <row r="454" spans="9:21">
      <c r="I454" s="187" t="s">
        <v>5732</v>
      </c>
      <c r="J454" s="186">
        <f>L454-L453-260000000</f>
        <v>-241879353</v>
      </c>
      <c r="K454" s="187" t="s">
        <v>5727</v>
      </c>
      <c r="L454" s="232">
        <v>4518120647</v>
      </c>
      <c r="M454" s="232">
        <v>2565627600</v>
      </c>
      <c r="N454" s="186">
        <f t="shared" si="52"/>
        <v>7083748247</v>
      </c>
      <c r="O454" s="186">
        <f>M454-M453-260000</f>
        <v>65367600</v>
      </c>
      <c r="P454" s="186">
        <f>N454-N453-260260000</f>
        <v>-176511753</v>
      </c>
      <c r="Q454" s="316">
        <v>260260000</v>
      </c>
    </row>
    <row r="455" spans="9:21">
      <c r="I455" s="210"/>
      <c r="J455" s="111">
        <f t="shared" si="51"/>
        <v>170536780</v>
      </c>
      <c r="K455" s="210" t="s">
        <v>5731</v>
      </c>
      <c r="L455" s="82">
        <v>4688657427</v>
      </c>
      <c r="M455" s="82">
        <v>2677178495</v>
      </c>
      <c r="N455" s="111">
        <f t="shared" si="52"/>
        <v>7365835922</v>
      </c>
      <c r="O455" s="111">
        <f>M455-M454</f>
        <v>111550895</v>
      </c>
      <c r="P455" s="111">
        <f t="shared" si="56"/>
        <v>282087675</v>
      </c>
      <c r="Q455" s="224">
        <v>0</v>
      </c>
    </row>
    <row r="456" spans="9:21">
      <c r="I456" s="210"/>
      <c r="J456" s="111">
        <f t="shared" si="51"/>
        <v>161342573</v>
      </c>
      <c r="K456" s="210" t="s">
        <v>5733</v>
      </c>
      <c r="L456" s="82">
        <v>4850000000</v>
      </c>
      <c r="M456" s="82">
        <v>2800000000</v>
      </c>
      <c r="N456" s="111">
        <f>L456+M456</f>
        <v>7650000000</v>
      </c>
      <c r="O456" s="111">
        <f t="shared" si="55"/>
        <v>122821505</v>
      </c>
      <c r="P456" s="111">
        <f t="shared" si="56"/>
        <v>284164078</v>
      </c>
      <c r="Q456" s="224">
        <v>0</v>
      </c>
    </row>
    <row r="457" spans="9:21">
      <c r="I457" s="210"/>
      <c r="J457" s="111">
        <f t="shared" si="51"/>
        <v>170000000</v>
      </c>
      <c r="K457" s="210" t="s">
        <v>5734</v>
      </c>
      <c r="L457" s="82">
        <v>5020000000</v>
      </c>
      <c r="M457" s="82">
        <v>2900000000</v>
      </c>
      <c r="N457" s="111">
        <f t="shared" si="52"/>
        <v>7920000000</v>
      </c>
      <c r="O457" s="111">
        <f>M457-M456</f>
        <v>100000000</v>
      </c>
      <c r="P457" s="111">
        <f t="shared" si="56"/>
        <v>270000000</v>
      </c>
      <c r="Q457" s="224">
        <v>0</v>
      </c>
      <c r="U457" t="s">
        <v>25</v>
      </c>
    </row>
    <row r="458" spans="9:21">
      <c r="I458" s="210"/>
      <c r="J458" s="111">
        <f t="shared" si="51"/>
        <v>208597288</v>
      </c>
      <c r="K458" s="210" t="s">
        <v>5735</v>
      </c>
      <c r="L458" s="82">
        <v>5228597288</v>
      </c>
      <c r="M458" s="82">
        <v>3004939240</v>
      </c>
      <c r="N458" s="111">
        <f t="shared" si="52"/>
        <v>8233536528</v>
      </c>
      <c r="O458" s="111">
        <f t="shared" si="55"/>
        <v>104939240</v>
      </c>
      <c r="P458" s="111">
        <f t="shared" si="56"/>
        <v>313536528</v>
      </c>
      <c r="Q458" s="224">
        <v>0</v>
      </c>
    </row>
    <row r="459" spans="9:21">
      <c r="I459" s="210"/>
      <c r="J459" s="111">
        <f t="shared" si="51"/>
        <v>1402712</v>
      </c>
      <c r="K459" s="210" t="s">
        <v>5736</v>
      </c>
      <c r="L459" s="82">
        <v>5230000000</v>
      </c>
      <c r="M459" s="82">
        <v>3016043919</v>
      </c>
      <c r="N459" s="111">
        <f t="shared" si="52"/>
        <v>8246043919</v>
      </c>
      <c r="O459" s="111">
        <f t="shared" si="55"/>
        <v>11104679</v>
      </c>
      <c r="P459" s="111">
        <f t="shared" si="56"/>
        <v>12507391</v>
      </c>
      <c r="Q459" s="224">
        <v>0</v>
      </c>
    </row>
    <row r="460" spans="9:21">
      <c r="I460" s="210"/>
      <c r="J460" s="111">
        <f t="shared" si="51"/>
        <v>120000000</v>
      </c>
      <c r="K460" s="210" t="s">
        <v>5739</v>
      </c>
      <c r="L460" s="82">
        <v>5350000000</v>
      </c>
      <c r="M460" s="82">
        <v>3070000000</v>
      </c>
      <c r="N460" s="111">
        <f t="shared" si="52"/>
        <v>8420000000</v>
      </c>
      <c r="O460" s="111">
        <f t="shared" si="55"/>
        <v>53956081</v>
      </c>
      <c r="P460" s="111">
        <f t="shared" si="56"/>
        <v>173956081</v>
      </c>
      <c r="Q460" s="224">
        <v>0</v>
      </c>
    </row>
    <row r="461" spans="9:21">
      <c r="I461" s="210"/>
      <c r="J461" s="111">
        <f t="shared" si="51"/>
        <v>139527959</v>
      </c>
      <c r="K461" s="210" t="s">
        <v>5740</v>
      </c>
      <c r="L461" s="82">
        <v>5489527959</v>
      </c>
      <c r="M461" s="82">
        <v>3153965043</v>
      </c>
      <c r="N461" s="111">
        <f t="shared" si="52"/>
        <v>8643493002</v>
      </c>
      <c r="O461" s="111">
        <f t="shared" si="55"/>
        <v>83965043</v>
      </c>
      <c r="P461" s="111">
        <f t="shared" si="56"/>
        <v>223493002</v>
      </c>
      <c r="Q461" s="224">
        <v>0</v>
      </c>
    </row>
    <row r="462" spans="9:21">
      <c r="I462" s="210"/>
      <c r="J462" s="111">
        <f t="shared" si="51"/>
        <v>-240277409</v>
      </c>
      <c r="K462" s="210" t="s">
        <v>5741</v>
      </c>
      <c r="L462" s="82">
        <v>5249250550</v>
      </c>
      <c r="M462" s="82">
        <v>3012364507</v>
      </c>
      <c r="N462" s="111">
        <f t="shared" si="52"/>
        <v>8261615057</v>
      </c>
      <c r="O462" s="111">
        <f t="shared" si="55"/>
        <v>-141600536</v>
      </c>
      <c r="P462" s="111">
        <f t="shared" si="56"/>
        <v>-381877945</v>
      </c>
      <c r="Q462" s="224">
        <v>0</v>
      </c>
    </row>
    <row r="463" spans="9:21">
      <c r="I463" s="210"/>
      <c r="J463" s="111">
        <f t="shared" si="51"/>
        <v>136702023</v>
      </c>
      <c r="K463" s="210" t="s">
        <v>5742</v>
      </c>
      <c r="L463" s="82">
        <v>5385952573</v>
      </c>
      <c r="M463" s="82">
        <v>3077089830</v>
      </c>
      <c r="N463" s="111">
        <f t="shared" ref="N463:N526" si="57">L463+M463</f>
        <v>8463042403</v>
      </c>
      <c r="O463" s="111">
        <f t="shared" ref="O463:O526" si="58">M463-M462</f>
        <v>64725323</v>
      </c>
      <c r="P463" s="111">
        <f t="shared" ref="P463:P526" si="59">N463-N462</f>
        <v>201427346</v>
      </c>
      <c r="Q463" s="224">
        <v>0</v>
      </c>
    </row>
    <row r="464" spans="9:21">
      <c r="I464" s="210"/>
      <c r="J464" s="111">
        <f t="shared" si="51"/>
        <v>298648373</v>
      </c>
      <c r="K464" s="210" t="s">
        <v>5743</v>
      </c>
      <c r="L464" s="82">
        <v>5684600946</v>
      </c>
      <c r="M464" s="82">
        <v>3223570500</v>
      </c>
      <c r="N464" s="111">
        <f t="shared" si="57"/>
        <v>8908171446</v>
      </c>
      <c r="O464" s="111">
        <f t="shared" si="58"/>
        <v>146480670</v>
      </c>
      <c r="P464" s="111">
        <f t="shared" si="59"/>
        <v>445129043</v>
      </c>
      <c r="Q464" s="224">
        <v>0</v>
      </c>
    </row>
    <row r="465" spans="9:19">
      <c r="I465" s="187" t="s">
        <v>5747</v>
      </c>
      <c r="J465" s="186">
        <f t="shared" si="51"/>
        <v>221604304</v>
      </c>
      <c r="K465" s="187" t="s">
        <v>965</v>
      </c>
      <c r="L465" s="232">
        <v>5906205250</v>
      </c>
      <c r="M465" s="232">
        <v>3345406425</v>
      </c>
      <c r="N465" s="186">
        <f t="shared" si="57"/>
        <v>9251611675</v>
      </c>
      <c r="O465" s="186">
        <f>M465-M464-11221062</f>
        <v>110614863</v>
      </c>
      <c r="P465" s="186">
        <f>N465-N464-11221062</f>
        <v>332219167</v>
      </c>
      <c r="Q465" s="316">
        <v>11221062</v>
      </c>
    </row>
    <row r="466" spans="9:19">
      <c r="I466" s="210"/>
      <c r="J466" s="111">
        <f t="shared" si="51"/>
        <v>154663604</v>
      </c>
      <c r="K466" s="210" t="s">
        <v>5750</v>
      </c>
      <c r="L466" s="82">
        <v>6060868854</v>
      </c>
      <c r="M466" s="82">
        <v>3464205093</v>
      </c>
      <c r="N466" s="111">
        <f t="shared" si="57"/>
        <v>9525073947</v>
      </c>
      <c r="O466" s="111">
        <f t="shared" si="58"/>
        <v>118798668</v>
      </c>
      <c r="P466" s="111">
        <f t="shared" si="59"/>
        <v>273462272</v>
      </c>
      <c r="Q466" s="224">
        <v>0</v>
      </c>
    </row>
    <row r="467" spans="9:19">
      <c r="I467" s="210"/>
      <c r="J467" s="111">
        <f t="shared" si="51"/>
        <v>83019771</v>
      </c>
      <c r="K467" s="210" t="s">
        <v>5751</v>
      </c>
      <c r="L467" s="82">
        <v>6143888625</v>
      </c>
      <c r="M467" s="82">
        <v>3526728170</v>
      </c>
      <c r="N467" s="111">
        <f t="shared" si="57"/>
        <v>9670616795</v>
      </c>
      <c r="O467" s="111">
        <f t="shared" si="58"/>
        <v>62523077</v>
      </c>
      <c r="P467" s="111">
        <f t="shared" si="59"/>
        <v>145542848</v>
      </c>
      <c r="Q467" s="224">
        <v>0</v>
      </c>
    </row>
    <row r="468" spans="9:19">
      <c r="I468" s="210" t="s">
        <v>5754</v>
      </c>
      <c r="J468" s="111">
        <f>L468-L467-20000</f>
        <v>-31443260</v>
      </c>
      <c r="K468" s="210" t="s">
        <v>5753</v>
      </c>
      <c r="L468" s="82">
        <v>6112465365</v>
      </c>
      <c r="M468" s="82">
        <v>3518318740</v>
      </c>
      <c r="N468" s="111">
        <f t="shared" si="57"/>
        <v>9630784105</v>
      </c>
      <c r="O468" s="111">
        <f>M468-M467-20000</f>
        <v>-8429430</v>
      </c>
      <c r="P468" s="111">
        <f>N468-N467-40000</f>
        <v>-39872690</v>
      </c>
      <c r="Q468" s="224">
        <v>40000</v>
      </c>
    </row>
    <row r="469" spans="9:19">
      <c r="I469" s="210"/>
      <c r="J469" s="111">
        <f t="shared" si="51"/>
        <v>111131586</v>
      </c>
      <c r="K469" s="210" t="s">
        <v>5756</v>
      </c>
      <c r="L469" s="82">
        <v>6223596951</v>
      </c>
      <c r="M469" s="82">
        <v>3546763930</v>
      </c>
      <c r="N469" s="111">
        <f t="shared" si="57"/>
        <v>9770360881</v>
      </c>
      <c r="O469" s="111">
        <f t="shared" si="58"/>
        <v>28445190</v>
      </c>
      <c r="P469" s="111">
        <f t="shared" si="59"/>
        <v>139576776</v>
      </c>
      <c r="Q469" s="224">
        <v>0</v>
      </c>
    </row>
    <row r="470" spans="9:19">
      <c r="I470" s="210"/>
      <c r="J470" s="111">
        <f t="shared" si="51"/>
        <v>16690857</v>
      </c>
      <c r="K470" s="210" t="s">
        <v>5757</v>
      </c>
      <c r="L470" s="82">
        <v>6240287808</v>
      </c>
      <c r="M470" s="82">
        <v>3546015346</v>
      </c>
      <c r="N470" s="111">
        <f t="shared" si="57"/>
        <v>9786303154</v>
      </c>
      <c r="O470" s="111">
        <f t="shared" si="58"/>
        <v>-748584</v>
      </c>
      <c r="P470" s="111">
        <f t="shared" si="59"/>
        <v>15942273</v>
      </c>
      <c r="Q470" s="224">
        <v>0</v>
      </c>
    </row>
    <row r="471" spans="9:19">
      <c r="I471" s="210"/>
      <c r="J471" s="111">
        <f t="shared" si="51"/>
        <v>-226671269</v>
      </c>
      <c r="K471" s="210" t="s">
        <v>5759</v>
      </c>
      <c r="L471" s="82">
        <v>6013616539</v>
      </c>
      <c r="M471" s="82">
        <v>3413915060</v>
      </c>
      <c r="N471" s="111">
        <f t="shared" si="57"/>
        <v>9427531599</v>
      </c>
      <c r="O471" s="111">
        <f t="shared" si="58"/>
        <v>-132100286</v>
      </c>
      <c r="P471" s="111">
        <f t="shared" si="59"/>
        <v>-358771555</v>
      </c>
      <c r="Q471" s="224">
        <v>0</v>
      </c>
      <c r="R471" t="s">
        <v>25</v>
      </c>
    </row>
    <row r="472" spans="9:19">
      <c r="I472" s="210" t="s">
        <v>5763</v>
      </c>
      <c r="J472" s="111">
        <f>L472-L471-70000</f>
        <v>-63686539</v>
      </c>
      <c r="K472" s="210" t="s">
        <v>5761</v>
      </c>
      <c r="L472" s="82">
        <v>5950000000</v>
      </c>
      <c r="M472" s="82">
        <v>3380000000</v>
      </c>
      <c r="N472" s="111">
        <f t="shared" si="57"/>
        <v>9330000000</v>
      </c>
      <c r="O472" s="111">
        <f>M472-M471-70000</f>
        <v>-33985060</v>
      </c>
      <c r="P472" s="111">
        <f>N472-N471-140000</f>
        <v>-97671599</v>
      </c>
      <c r="Q472" s="224">
        <v>140000</v>
      </c>
    </row>
    <row r="473" spans="9:19">
      <c r="I473" s="210" t="s">
        <v>5770</v>
      </c>
      <c r="J473" s="111">
        <f>L473-L472-330000</f>
        <v>-62693116</v>
      </c>
      <c r="K473" s="210" t="s">
        <v>5768</v>
      </c>
      <c r="L473" s="82">
        <v>5887636884</v>
      </c>
      <c r="M473" s="82">
        <v>3350000000</v>
      </c>
      <c r="N473" s="111">
        <f t="shared" si="57"/>
        <v>9237636884</v>
      </c>
      <c r="O473" s="111">
        <f>M473-M472-330000</f>
        <v>-30330000</v>
      </c>
      <c r="P473" s="111">
        <f>N473-N472-660000</f>
        <v>-93023116</v>
      </c>
      <c r="Q473" s="224">
        <v>660000</v>
      </c>
    </row>
    <row r="474" spans="9:19">
      <c r="I474" s="210"/>
      <c r="J474" s="111">
        <f t="shared" si="51"/>
        <v>152162052</v>
      </c>
      <c r="K474" s="210" t="s">
        <v>5773</v>
      </c>
      <c r="L474" s="82">
        <v>6039798936</v>
      </c>
      <c r="M474" s="82">
        <v>3412399754</v>
      </c>
      <c r="N474" s="111">
        <f t="shared" si="57"/>
        <v>9452198690</v>
      </c>
      <c r="O474" s="111">
        <f t="shared" si="58"/>
        <v>62399754</v>
      </c>
      <c r="P474" s="111">
        <f t="shared" si="59"/>
        <v>214561806</v>
      </c>
      <c r="Q474" s="224">
        <v>0</v>
      </c>
    </row>
    <row r="475" spans="9:19">
      <c r="I475" s="210" t="s">
        <v>25</v>
      </c>
      <c r="J475" s="111">
        <f t="shared" si="51"/>
        <v>-229469487</v>
      </c>
      <c r="K475" s="210" t="s">
        <v>5783</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5320</v>
      </c>
      <c r="B1">
        <v>0.24</v>
      </c>
    </row>
    <row r="4" spans="1:21">
      <c r="A4" s="97" t="s">
        <v>3625</v>
      </c>
      <c r="B4" s="97" t="s">
        <v>180</v>
      </c>
      <c r="C4" s="97" t="s">
        <v>5324</v>
      </c>
      <c r="D4" s="97" t="s">
        <v>5325</v>
      </c>
      <c r="E4" s="97" t="s">
        <v>5332</v>
      </c>
      <c r="F4" s="97" t="s">
        <v>5326</v>
      </c>
      <c r="G4" s="97" t="s">
        <v>5327</v>
      </c>
      <c r="H4" s="97" t="s">
        <v>5328</v>
      </c>
      <c r="I4" s="97" t="s">
        <v>5329</v>
      </c>
      <c r="J4" s="97" t="s">
        <v>5330</v>
      </c>
      <c r="K4" s="97" t="s">
        <v>5331</v>
      </c>
      <c r="L4" s="97" t="s">
        <v>5319</v>
      </c>
      <c r="M4" s="97" t="s">
        <v>5321</v>
      </c>
      <c r="N4" s="97" t="s">
        <v>5322</v>
      </c>
      <c r="O4" s="97"/>
    </row>
    <row r="5" spans="1:21">
      <c r="A5" s="97">
        <v>0</v>
      </c>
      <c r="B5" s="97" t="s">
        <v>5318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5323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5346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5345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5349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6" t="s">
        <v>4488</v>
      </c>
      <c r="B52" s="276" t="s">
        <v>5333</v>
      </c>
      <c r="C52" s="276" t="s">
        <v>5334</v>
      </c>
      <c r="D52" s="276" t="s">
        <v>5335</v>
      </c>
      <c r="E52" s="276" t="s">
        <v>4248</v>
      </c>
      <c r="F52" s="276" t="s">
        <v>5336</v>
      </c>
      <c r="G52" s="276" t="s">
        <v>5337</v>
      </c>
      <c r="H52" s="276" t="s">
        <v>5338</v>
      </c>
      <c r="I52" s="276" t="s">
        <v>5339</v>
      </c>
      <c r="J52" s="276" t="s">
        <v>5340</v>
      </c>
      <c r="K52" s="276" t="s">
        <v>5341</v>
      </c>
      <c r="L52" s="276" t="s">
        <v>5342</v>
      </c>
      <c r="M52" s="276" t="s">
        <v>5343</v>
      </c>
      <c r="N52" s="276" t="s">
        <v>5344</v>
      </c>
    </row>
    <row r="53" spans="1:14" ht="15.75" thickBot="1">
      <c r="A53" s="277" t="s">
        <v>4219</v>
      </c>
      <c r="B53" s="278">
        <v>2806332</v>
      </c>
      <c r="C53" s="278">
        <v>5993639424</v>
      </c>
      <c r="D53" s="278">
        <v>2136</v>
      </c>
      <c r="E53" s="278">
        <v>5184</v>
      </c>
      <c r="F53" s="278">
        <v>14406181843</v>
      </c>
      <c r="G53" s="278">
        <v>2157</v>
      </c>
      <c r="H53" s="278">
        <v>1296909440</v>
      </c>
      <c r="I53" s="278">
        <v>314122000</v>
      </c>
      <c r="J53" s="278">
        <v>8412542419</v>
      </c>
      <c r="K53" s="279">
        <v>1.4036</v>
      </c>
      <c r="L53" s="278">
        <v>10023573859</v>
      </c>
      <c r="M53" s="279">
        <v>1.1309</v>
      </c>
      <c r="N53" s="279">
        <v>0.83099999999999996</v>
      </c>
    </row>
    <row r="54" spans="1:14" ht="15.75" thickBot="1">
      <c r="A54" s="277" t="s">
        <v>4361</v>
      </c>
      <c r="B54" s="278">
        <v>27101</v>
      </c>
      <c r="C54" s="278">
        <v>2027973760</v>
      </c>
      <c r="D54" s="278">
        <v>74830</v>
      </c>
      <c r="E54" s="278">
        <v>75601</v>
      </c>
      <c r="F54" s="278">
        <v>2028886290</v>
      </c>
      <c r="G54" s="278">
        <v>75567</v>
      </c>
      <c r="H54" s="278">
        <v>3434430</v>
      </c>
      <c r="I54" s="277">
        <v>0</v>
      </c>
      <c r="J54" s="278">
        <v>912530</v>
      </c>
      <c r="K54" s="279">
        <v>4.0000000000000002E-4</v>
      </c>
      <c r="L54" s="278">
        <v>4346960</v>
      </c>
      <c r="M54" s="279">
        <v>2E-3</v>
      </c>
      <c r="N54" s="279">
        <v>0.11700000000000001</v>
      </c>
    </row>
    <row r="55" spans="1:14" ht="15.75" thickBot="1">
      <c r="A55" s="277" t="s">
        <v>4374</v>
      </c>
      <c r="B55" s="278">
        <v>54523</v>
      </c>
      <c r="C55" s="278">
        <v>397795200</v>
      </c>
      <c r="D55" s="278">
        <v>7296</v>
      </c>
      <c r="E55" s="278">
        <v>12992</v>
      </c>
      <c r="F55" s="278">
        <v>701456279</v>
      </c>
      <c r="G55" s="278">
        <v>7368</v>
      </c>
      <c r="H55" s="278">
        <v>455670432</v>
      </c>
      <c r="I55" s="278">
        <v>162660000</v>
      </c>
      <c r="J55" s="278">
        <v>303661079</v>
      </c>
      <c r="K55" s="279">
        <v>0.76339999999999997</v>
      </c>
      <c r="L55" s="278">
        <v>921991511</v>
      </c>
      <c r="M55" s="279">
        <v>0.53590000000000004</v>
      </c>
      <c r="N55" s="279">
        <v>4.0500000000000001E-2</v>
      </c>
    </row>
    <row r="56" spans="1:14" ht="15.75" thickBot="1">
      <c r="A56" s="277" t="s">
        <v>5305</v>
      </c>
      <c r="B56" s="278">
        <v>45598</v>
      </c>
      <c r="C56" s="278">
        <v>182155728</v>
      </c>
      <c r="D56" s="278">
        <v>3995</v>
      </c>
      <c r="E56" s="278">
        <v>3918</v>
      </c>
      <c r="F56" s="278">
        <v>176911098</v>
      </c>
      <c r="G56" s="278">
        <v>4034</v>
      </c>
      <c r="H56" s="278">
        <v>3904</v>
      </c>
      <c r="I56" s="277">
        <v>0</v>
      </c>
      <c r="J56" s="278">
        <v>-5244630</v>
      </c>
      <c r="K56" s="279">
        <v>-2.8799999999999999E-2</v>
      </c>
      <c r="L56" s="278">
        <v>-5240726</v>
      </c>
      <c r="M56" s="279">
        <v>-2.86E-2</v>
      </c>
      <c r="N56" s="279">
        <v>1.0200000000000001E-2</v>
      </c>
    </row>
    <row r="57" spans="1:14" ht="15.75" thickBot="1">
      <c r="A57" s="277" t="s">
        <v>5300</v>
      </c>
      <c r="B57" s="278">
        <v>3073</v>
      </c>
      <c r="C57" s="278">
        <v>14075376</v>
      </c>
      <c r="D57" s="278">
        <v>4580</v>
      </c>
      <c r="E57" s="278">
        <v>4903</v>
      </c>
      <c r="F57" s="278">
        <v>14920017</v>
      </c>
      <c r="G57" s="278">
        <v>4625</v>
      </c>
      <c r="H57" s="278">
        <v>1818148</v>
      </c>
      <c r="I57" s="277">
        <v>0</v>
      </c>
      <c r="J57" s="278">
        <v>844641</v>
      </c>
      <c r="K57" s="280">
        <v>0.06</v>
      </c>
      <c r="L57" s="278">
        <v>2662789</v>
      </c>
      <c r="M57" s="279">
        <v>5.2499999999999998E-2</v>
      </c>
      <c r="N57" s="279">
        <v>8.9999999999999998E-4</v>
      </c>
    </row>
    <row r="58" spans="1:14" ht="15.75" thickBot="1">
      <c r="A58" s="277" t="s">
        <v>5291</v>
      </c>
      <c r="B58" s="277">
        <v>369</v>
      </c>
      <c r="C58" s="278">
        <v>2085047</v>
      </c>
      <c r="D58" s="278">
        <v>5651</v>
      </c>
      <c r="E58" s="278">
        <v>7535</v>
      </c>
      <c r="F58" s="278">
        <v>2753306</v>
      </c>
      <c r="G58" s="278">
        <v>5707</v>
      </c>
      <c r="H58" s="277">
        <v>0</v>
      </c>
      <c r="I58" s="277">
        <v>0</v>
      </c>
      <c r="J58" s="278">
        <v>668259</v>
      </c>
      <c r="K58" s="279">
        <v>0.32050000000000001</v>
      </c>
      <c r="L58" s="278">
        <v>668259</v>
      </c>
      <c r="M58" s="279">
        <v>0.32050000000000001</v>
      </c>
      <c r="N58" s="279">
        <v>2.0000000000000001E-4</v>
      </c>
    </row>
    <row r="59" spans="1:14" ht="15.75" thickBot="1">
      <c r="A59" s="277" t="s">
        <v>4854</v>
      </c>
      <c r="B59" s="277">
        <v>100</v>
      </c>
      <c r="C59" s="278">
        <v>2844133</v>
      </c>
      <c r="D59" s="278">
        <v>28441</v>
      </c>
      <c r="E59" s="278">
        <v>28361</v>
      </c>
      <c r="F59" s="278">
        <v>2808448</v>
      </c>
      <c r="G59" s="278">
        <v>28721</v>
      </c>
      <c r="H59" s="277">
        <v>0</v>
      </c>
      <c r="I59" s="277">
        <v>0</v>
      </c>
      <c r="J59" s="278">
        <v>-35685</v>
      </c>
      <c r="K59" s="279">
        <v>-1.2500000000000001E-2</v>
      </c>
      <c r="L59" s="278">
        <v>-35685</v>
      </c>
      <c r="M59" s="279">
        <v>-1.2500000000000001E-2</v>
      </c>
      <c r="N59" s="279">
        <v>2.0000000000000001E-4</v>
      </c>
    </row>
    <row r="60" spans="1:14" ht="15.75" thickBot="1">
      <c r="A60" s="277" t="s">
        <v>5282</v>
      </c>
      <c r="B60" s="277">
        <v>38</v>
      </c>
      <c r="C60" s="278">
        <v>1126087</v>
      </c>
      <c r="D60" s="278">
        <v>29634</v>
      </c>
      <c r="E60" s="278">
        <v>45760</v>
      </c>
      <c r="F60" s="278">
        <v>1721926</v>
      </c>
      <c r="G60" s="278">
        <v>29926</v>
      </c>
      <c r="H60" s="277">
        <v>0</v>
      </c>
      <c r="I60" s="277">
        <v>0</v>
      </c>
      <c r="J60" s="278">
        <v>595839</v>
      </c>
      <c r="K60" s="279">
        <v>0.52910000000000001</v>
      </c>
      <c r="L60" s="278">
        <v>595839</v>
      </c>
      <c r="M60" s="279">
        <v>0.52910000000000001</v>
      </c>
      <c r="N60" s="279">
        <v>1E-4</v>
      </c>
    </row>
    <row r="61" spans="1:14" ht="15.75" thickBot="1">
      <c r="A61" s="277" t="s">
        <v>5315</v>
      </c>
      <c r="B61" s="277">
        <v>67</v>
      </c>
      <c r="C61" s="278">
        <v>1144282</v>
      </c>
      <c r="D61" s="278">
        <v>17079</v>
      </c>
      <c r="E61" s="278">
        <v>17000</v>
      </c>
      <c r="F61" s="278">
        <v>1127895</v>
      </c>
      <c r="G61" s="278">
        <v>17247</v>
      </c>
      <c r="H61" s="277">
        <v>0</v>
      </c>
      <c r="I61" s="277">
        <v>0</v>
      </c>
      <c r="J61" s="278">
        <v>-16387</v>
      </c>
      <c r="K61" s="279">
        <v>-1.43E-2</v>
      </c>
      <c r="L61" s="278">
        <v>-16387</v>
      </c>
      <c r="M61" s="279">
        <v>-1.43E-2</v>
      </c>
      <c r="N61" s="279">
        <v>1E-4</v>
      </c>
    </row>
    <row r="63" spans="1:14" ht="15.75" thickBot="1"/>
    <row r="64" spans="1:14" ht="27" thickBot="1">
      <c r="A64" s="276" t="s">
        <v>4488</v>
      </c>
      <c r="B64" s="276" t="s">
        <v>5333</v>
      </c>
      <c r="C64" s="276" t="s">
        <v>5334</v>
      </c>
      <c r="D64" s="276" t="s">
        <v>5335</v>
      </c>
      <c r="E64" s="276" t="s">
        <v>4248</v>
      </c>
      <c r="F64" s="276" t="s">
        <v>5336</v>
      </c>
      <c r="G64" s="276" t="s">
        <v>5337</v>
      </c>
      <c r="H64" s="276" t="s">
        <v>5338</v>
      </c>
      <c r="I64" s="276" t="s">
        <v>5339</v>
      </c>
      <c r="J64" s="276" t="s">
        <v>5340</v>
      </c>
      <c r="K64" s="276" t="s">
        <v>5341</v>
      </c>
      <c r="L64" s="276" t="s">
        <v>5342</v>
      </c>
      <c r="M64" s="276" t="s">
        <v>5343</v>
      </c>
      <c r="N64" s="276" t="s">
        <v>5344</v>
      </c>
    </row>
    <row r="65" spans="1:14" ht="15.75" thickBot="1">
      <c r="A65" s="277" t="s">
        <v>4219</v>
      </c>
      <c r="B65" s="278">
        <v>1574177</v>
      </c>
      <c r="C65" s="278">
        <v>3344449792</v>
      </c>
      <c r="D65" s="278">
        <v>2125</v>
      </c>
      <c r="E65" s="278">
        <v>5184</v>
      </c>
      <c r="F65" s="278">
        <v>8080968366</v>
      </c>
      <c r="G65" s="278">
        <v>2146</v>
      </c>
      <c r="H65" s="278">
        <v>309993152</v>
      </c>
      <c r="I65" s="278">
        <v>20607250</v>
      </c>
      <c r="J65" s="278">
        <v>4736518574</v>
      </c>
      <c r="K65" s="279">
        <v>1.4161999999999999</v>
      </c>
      <c r="L65" s="278">
        <v>5067118976</v>
      </c>
      <c r="M65" s="279">
        <v>1.2862</v>
      </c>
      <c r="N65" s="279">
        <v>0.78559999999999997</v>
      </c>
    </row>
    <row r="66" spans="1:14" ht="15.75" thickBot="1">
      <c r="A66" s="277" t="s">
        <v>4374</v>
      </c>
      <c r="B66" s="278">
        <v>146408</v>
      </c>
      <c r="C66" s="278">
        <v>824376640</v>
      </c>
      <c r="D66" s="278">
        <v>5631</v>
      </c>
      <c r="E66" s="278">
        <v>12992</v>
      </c>
      <c r="F66" s="278">
        <v>1883586942</v>
      </c>
      <c r="G66" s="278">
        <v>5686</v>
      </c>
      <c r="H66" s="278">
        <v>132503776</v>
      </c>
      <c r="I66" s="278">
        <v>241591500</v>
      </c>
      <c r="J66" s="278">
        <v>1059210302</v>
      </c>
      <c r="K66" s="279">
        <v>1.2848999999999999</v>
      </c>
      <c r="L66" s="278">
        <v>1433305578</v>
      </c>
      <c r="M66" s="279">
        <v>1.4287000000000001</v>
      </c>
      <c r="N66" s="279">
        <v>0.18310000000000001</v>
      </c>
    </row>
    <row r="67" spans="1:14" ht="15.75" thickBot="1">
      <c r="A67" s="277" t="s">
        <v>4361</v>
      </c>
      <c r="B67" s="278">
        <v>3975</v>
      </c>
      <c r="C67" s="278">
        <v>284494112</v>
      </c>
      <c r="D67" s="278">
        <v>71571</v>
      </c>
      <c r="E67" s="278">
        <v>75601</v>
      </c>
      <c r="F67" s="278">
        <v>297583964</v>
      </c>
      <c r="G67" s="278">
        <v>72276</v>
      </c>
      <c r="H67" s="278">
        <v>2696941</v>
      </c>
      <c r="I67" s="277">
        <v>0</v>
      </c>
      <c r="J67" s="278">
        <v>13089852</v>
      </c>
      <c r="K67" s="279">
        <v>4.5999999999999999E-2</v>
      </c>
      <c r="L67" s="278">
        <v>15786793</v>
      </c>
      <c r="M67" s="279">
        <v>4.36E-2</v>
      </c>
      <c r="N67" s="279">
        <v>2.8899999999999999E-2</v>
      </c>
    </row>
    <row r="68" spans="1:14" ht="15.75" thickBot="1">
      <c r="A68" s="277" t="s">
        <v>5305</v>
      </c>
      <c r="B68" s="278">
        <v>4687</v>
      </c>
      <c r="C68" s="278">
        <v>18756876</v>
      </c>
      <c r="D68" s="278">
        <v>4002</v>
      </c>
      <c r="E68" s="278">
        <v>3918</v>
      </c>
      <c r="F68" s="278">
        <v>18184620</v>
      </c>
      <c r="G68" s="278">
        <v>4041</v>
      </c>
      <c r="H68" s="277">
        <v>0</v>
      </c>
      <c r="I68" s="277">
        <v>0</v>
      </c>
      <c r="J68" s="278">
        <v>-572256</v>
      </c>
      <c r="K68" s="279">
        <v>-3.0499999999999999E-2</v>
      </c>
      <c r="L68" s="278">
        <v>-572256</v>
      </c>
      <c r="M68" s="279">
        <v>-3.0499999999999999E-2</v>
      </c>
      <c r="N68" s="279">
        <v>1.8E-3</v>
      </c>
    </row>
    <row r="69" spans="1:14" ht="15.75" thickBot="1">
      <c r="A69" s="277" t="s">
        <v>5291</v>
      </c>
      <c r="B69" s="277">
        <v>369</v>
      </c>
      <c r="C69" s="278">
        <v>2085047</v>
      </c>
      <c r="D69" s="278">
        <v>5651</v>
      </c>
      <c r="E69" s="278">
        <v>7535</v>
      </c>
      <c r="F69" s="278">
        <v>2753306</v>
      </c>
      <c r="G69" s="278">
        <v>5707</v>
      </c>
      <c r="H69" s="277">
        <v>0</v>
      </c>
      <c r="I69" s="277">
        <v>0</v>
      </c>
      <c r="J69" s="278">
        <v>668259</v>
      </c>
      <c r="K69" s="279">
        <v>0.32050000000000001</v>
      </c>
      <c r="L69" s="278">
        <v>668259</v>
      </c>
      <c r="M69" s="279">
        <v>0.32050000000000001</v>
      </c>
      <c r="N69" s="279">
        <v>2.9999999999999997E-4</v>
      </c>
    </row>
    <row r="70" spans="1:14" ht="15.75" thickBot="1">
      <c r="A70" s="277" t="s">
        <v>5282</v>
      </c>
      <c r="B70" s="277">
        <v>38</v>
      </c>
      <c r="C70" s="278">
        <v>1126087</v>
      </c>
      <c r="D70" s="278">
        <v>29634</v>
      </c>
      <c r="E70" s="278">
        <v>45760</v>
      </c>
      <c r="F70" s="278">
        <v>1721926</v>
      </c>
      <c r="G70" s="278">
        <v>29926</v>
      </c>
      <c r="H70" s="277">
        <v>0</v>
      </c>
      <c r="I70" s="277">
        <v>0</v>
      </c>
      <c r="J70" s="278">
        <v>595839</v>
      </c>
      <c r="K70" s="279">
        <v>0.52910000000000001</v>
      </c>
      <c r="L70" s="278">
        <v>595839</v>
      </c>
      <c r="M70" s="279">
        <v>0.52910000000000001</v>
      </c>
      <c r="N70" s="279">
        <v>2.0000000000000001E-4</v>
      </c>
    </row>
    <row r="71" spans="1:14" ht="15.75" thickBot="1">
      <c r="A71" s="277" t="s">
        <v>5315</v>
      </c>
      <c r="B71" s="277">
        <v>67</v>
      </c>
      <c r="C71" s="278">
        <v>1144282</v>
      </c>
      <c r="D71" s="278">
        <v>17079</v>
      </c>
      <c r="E71" s="278">
        <v>17000</v>
      </c>
      <c r="F71" s="278">
        <v>1127895</v>
      </c>
      <c r="G71" s="278">
        <v>17247</v>
      </c>
      <c r="H71" s="277">
        <v>0</v>
      </c>
      <c r="I71" s="277">
        <v>0</v>
      </c>
      <c r="J71" s="278">
        <v>-16387</v>
      </c>
      <c r="K71" s="279">
        <v>-1.43E-2</v>
      </c>
      <c r="L71" s="278">
        <v>-16387</v>
      </c>
      <c r="M71" s="279">
        <v>-1.43E-2</v>
      </c>
      <c r="N71" s="279">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4488</v>
      </c>
      <c r="Z2" s="97" t="s">
        <v>4540</v>
      </c>
      <c r="AA2" s="97" t="s">
        <v>4538</v>
      </c>
      <c r="AB2" s="97" t="s">
        <v>4539</v>
      </c>
      <c r="AC2" s="97" t="s">
        <v>4542</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4544</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4541</v>
      </c>
      <c r="Z4" s="97">
        <v>1</v>
      </c>
      <c r="AA4" s="97">
        <v>1</v>
      </c>
      <c r="AB4" s="97">
        <f>AA4/Z4</f>
        <v>1</v>
      </c>
      <c r="AC4" s="97" t="s">
        <v>4543</v>
      </c>
      <c r="AD4" s="97"/>
      <c r="AE4" s="97"/>
      <c r="AF4" s="97"/>
      <c r="AG4" s="97"/>
      <c r="AH4" s="97"/>
    </row>
    <row r="5" spans="1:34">
      <c r="A5" s="97">
        <v>4</v>
      </c>
      <c r="B5" s="97"/>
      <c r="C5" s="167">
        <v>102</v>
      </c>
      <c r="D5" s="97">
        <v>20000</v>
      </c>
      <c r="E5" s="97">
        <f t="shared" si="0"/>
        <v>980000</v>
      </c>
      <c r="F5" s="167">
        <f t="shared" si="1"/>
        <v>-2030004</v>
      </c>
      <c r="G5" s="167">
        <f t="shared" si="2"/>
        <v>9996</v>
      </c>
      <c r="Y5" s="97" t="s">
        <v>4528</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4520</v>
      </c>
      <c r="B43" s="111">
        <v>100000</v>
      </c>
      <c r="C43" s="97" t="s">
        <v>3875</v>
      </c>
      <c r="D43" s="97">
        <v>58</v>
      </c>
      <c r="E43" s="97">
        <f>E44+D43</f>
        <v>105</v>
      </c>
      <c r="F43" s="97">
        <f t="shared" si="0"/>
        <v>1</v>
      </c>
      <c r="G43" s="97">
        <f t="shared" si="2"/>
        <v>10400000</v>
      </c>
    </row>
    <row r="44" spans="1:14">
      <c r="A44" s="97" t="s">
        <v>4685</v>
      </c>
      <c r="B44" s="111">
        <v>-31000</v>
      </c>
      <c r="C44" s="97" t="s">
        <v>4693</v>
      </c>
      <c r="D44" s="97">
        <v>19</v>
      </c>
      <c r="E44" s="97">
        <f t="shared" ref="E44:E50" si="5">E45+D44</f>
        <v>47</v>
      </c>
      <c r="F44" s="97">
        <f t="shared" ref="F44:F50" si="6">IF(B44&gt;0,1,0)</f>
        <v>0</v>
      </c>
      <c r="G44" s="97">
        <f t="shared" ref="G44:G50" si="7">B44*(E44-F44)</f>
        <v>-1457000</v>
      </c>
    </row>
    <row r="45" spans="1:14">
      <c r="A45" s="97" t="s">
        <v>4758</v>
      </c>
      <c r="B45" s="111">
        <v>2060725</v>
      </c>
      <c r="C45" s="97" t="s">
        <v>4761</v>
      </c>
      <c r="D45" s="97">
        <v>6</v>
      </c>
      <c r="E45" s="97">
        <f t="shared" si="5"/>
        <v>28</v>
      </c>
      <c r="F45" s="97">
        <f t="shared" si="6"/>
        <v>1</v>
      </c>
      <c r="G45" s="97">
        <f t="shared" si="7"/>
        <v>55639575</v>
      </c>
    </row>
    <row r="46" spans="1:14">
      <c r="A46" s="97" t="s">
        <v>4782</v>
      </c>
      <c r="B46" s="111">
        <v>-1073169</v>
      </c>
      <c r="C46" s="97" t="s">
        <v>4783</v>
      </c>
      <c r="D46" s="97">
        <v>4</v>
      </c>
      <c r="E46" s="97">
        <f t="shared" si="5"/>
        <v>22</v>
      </c>
      <c r="F46" s="97">
        <f t="shared" si="6"/>
        <v>0</v>
      </c>
      <c r="G46" s="97">
        <f t="shared" si="7"/>
        <v>-23609718</v>
      </c>
    </row>
    <row r="47" spans="1:14">
      <c r="A47" s="97" t="s">
        <v>4774</v>
      </c>
      <c r="B47" s="111">
        <v>-178820</v>
      </c>
      <c r="C47" s="97" t="s">
        <v>3998</v>
      </c>
      <c r="D47" s="97">
        <v>0</v>
      </c>
      <c r="E47" s="97">
        <f t="shared" si="5"/>
        <v>18</v>
      </c>
      <c r="F47" s="97">
        <f t="shared" si="6"/>
        <v>0</v>
      </c>
      <c r="G47" s="97">
        <f t="shared" si="7"/>
        <v>-3218760</v>
      </c>
      <c r="L47" t="s">
        <v>25</v>
      </c>
    </row>
    <row r="48" spans="1:14">
      <c r="A48" s="97" t="s">
        <v>4774</v>
      </c>
      <c r="B48" s="111">
        <v>-25000</v>
      </c>
      <c r="C48" s="97" t="s">
        <v>744</v>
      </c>
      <c r="D48" s="97">
        <v>4</v>
      </c>
      <c r="E48" s="97">
        <f t="shared" si="5"/>
        <v>18</v>
      </c>
      <c r="F48" s="97">
        <f t="shared" si="6"/>
        <v>0</v>
      </c>
      <c r="G48" s="97">
        <f t="shared" si="7"/>
        <v>-450000</v>
      </c>
      <c r="L48" t="s">
        <v>25</v>
      </c>
    </row>
    <row r="49" spans="1:13">
      <c r="A49" s="97" t="s">
        <v>4787</v>
      </c>
      <c r="B49" s="111">
        <v>-49500</v>
      </c>
      <c r="C49" s="97" t="s">
        <v>452</v>
      </c>
      <c r="D49" s="97">
        <v>2</v>
      </c>
      <c r="E49" s="97">
        <f t="shared" si="5"/>
        <v>14</v>
      </c>
      <c r="F49" s="97">
        <f t="shared" si="6"/>
        <v>0</v>
      </c>
      <c r="G49" s="97">
        <f t="shared" si="7"/>
        <v>-693000</v>
      </c>
    </row>
    <row r="50" spans="1:13">
      <c r="A50" s="97" t="s">
        <v>4790</v>
      </c>
      <c r="B50" s="111">
        <v>-4500</v>
      </c>
      <c r="C50" s="97" t="s">
        <v>452</v>
      </c>
      <c r="D50" s="97">
        <v>1</v>
      </c>
      <c r="E50" s="97">
        <f t="shared" si="5"/>
        <v>12</v>
      </c>
      <c r="F50" s="97">
        <f t="shared" si="6"/>
        <v>0</v>
      </c>
      <c r="G50" s="97">
        <f t="shared" si="7"/>
        <v>-54000</v>
      </c>
    </row>
    <row r="51" spans="1:13">
      <c r="A51" s="97" t="s">
        <v>4791</v>
      </c>
      <c r="B51" s="111">
        <v>-328000</v>
      </c>
      <c r="C51" s="97" t="s">
        <v>452</v>
      </c>
      <c r="D51" s="97">
        <v>4</v>
      </c>
      <c r="E51" s="97">
        <f t="shared" ref="E51:E61" si="8">E52+D51</f>
        <v>11</v>
      </c>
      <c r="F51" s="97">
        <f t="shared" ref="F51:F61" si="9">IF(B51&gt;0,1,0)</f>
        <v>0</v>
      </c>
      <c r="G51" s="97">
        <f t="shared" ref="G51:G61" si="10">B51*(E51-F51)</f>
        <v>-3608000</v>
      </c>
    </row>
    <row r="52" spans="1:13">
      <c r="A52" s="97" t="s">
        <v>4795</v>
      </c>
      <c r="B52" s="111">
        <v>-195330</v>
      </c>
      <c r="C52" s="97" t="s">
        <v>4800</v>
      </c>
      <c r="D52" s="97">
        <v>1</v>
      </c>
      <c r="E52" s="97">
        <f t="shared" si="8"/>
        <v>7</v>
      </c>
      <c r="F52" s="97">
        <f t="shared" si="9"/>
        <v>0</v>
      </c>
      <c r="G52" s="97">
        <f t="shared" si="10"/>
        <v>-1367310</v>
      </c>
    </row>
    <row r="53" spans="1:13">
      <c r="A53" s="97" t="s">
        <v>4802</v>
      </c>
      <c r="B53" s="111">
        <v>-140730</v>
      </c>
      <c r="C53" s="97" t="s">
        <v>4805</v>
      </c>
      <c r="D53" s="97">
        <v>1</v>
      </c>
      <c r="E53" s="97">
        <f t="shared" si="8"/>
        <v>6</v>
      </c>
      <c r="F53" s="97">
        <f t="shared" si="9"/>
        <v>0</v>
      </c>
      <c r="G53" s="97">
        <f t="shared" si="10"/>
        <v>-844380</v>
      </c>
    </row>
    <row r="54" spans="1:13">
      <c r="A54" s="97" t="s">
        <v>4803</v>
      </c>
      <c r="B54" s="111">
        <v>-4200</v>
      </c>
      <c r="C54" s="97" t="s">
        <v>1055</v>
      </c>
      <c r="D54" s="97">
        <v>0</v>
      </c>
      <c r="E54" s="97">
        <f t="shared" si="8"/>
        <v>5</v>
      </c>
      <c r="F54" s="97">
        <f t="shared" si="9"/>
        <v>0</v>
      </c>
      <c r="G54" s="97">
        <f t="shared" si="10"/>
        <v>-21000</v>
      </c>
    </row>
    <row r="55" spans="1:13">
      <c r="A55" s="97" t="s">
        <v>4803</v>
      </c>
      <c r="B55" s="111">
        <v>-66567</v>
      </c>
      <c r="C55" s="97" t="s">
        <v>3998</v>
      </c>
      <c r="D55" s="97">
        <v>4</v>
      </c>
      <c r="E55" s="97">
        <f t="shared" si="8"/>
        <v>5</v>
      </c>
      <c r="F55" s="97">
        <f t="shared" si="9"/>
        <v>0</v>
      </c>
      <c r="G55" s="97">
        <f t="shared" si="10"/>
        <v>-332835</v>
      </c>
    </row>
    <row r="56" spans="1:13">
      <c r="A56" s="97" t="s">
        <v>4807</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5570</v>
      </c>
    </row>
    <row r="29" spans="2:21">
      <c r="G29" s="11">
        <f t="shared" ref="G29:G48" si="5">$I$49-I29</f>
        <v>5860</v>
      </c>
      <c r="H29" s="11" t="s">
        <v>5312</v>
      </c>
      <c r="I29" s="11">
        <v>270000</v>
      </c>
      <c r="J29" s="11" t="s">
        <v>561</v>
      </c>
    </row>
    <row r="30" spans="2:21">
      <c r="G30" s="11">
        <f t="shared" si="5"/>
        <v>5860</v>
      </c>
      <c r="H30" s="11" t="s">
        <v>5312</v>
      </c>
      <c r="I30" s="11">
        <v>270000</v>
      </c>
      <c r="J30" s="11" t="s">
        <v>562</v>
      </c>
    </row>
    <row r="31" spans="2:21">
      <c r="G31" s="11">
        <f t="shared" si="5"/>
        <v>0</v>
      </c>
      <c r="H31" s="11" t="s">
        <v>5846</v>
      </c>
      <c r="I31" s="11">
        <v>275860</v>
      </c>
      <c r="J31" s="11" t="s">
        <v>476</v>
      </c>
    </row>
    <row r="32" spans="2:21">
      <c r="G32" s="11">
        <f t="shared" si="5"/>
        <v>90860</v>
      </c>
      <c r="H32" s="57" t="s">
        <v>780</v>
      </c>
      <c r="I32" s="11">
        <v>185000</v>
      </c>
      <c r="J32" s="11" t="s">
        <v>556</v>
      </c>
    </row>
    <row r="33" spans="6:23">
      <c r="G33" s="11">
        <f t="shared" si="5"/>
        <v>0</v>
      </c>
      <c r="H33" s="11" t="s">
        <v>5846</v>
      </c>
      <c r="I33" s="11">
        <v>275860</v>
      </c>
      <c r="J33" s="11" t="s">
        <v>563</v>
      </c>
    </row>
    <row r="34" spans="6:23">
      <c r="G34" s="11">
        <f t="shared" si="5"/>
        <v>0</v>
      </c>
      <c r="H34" s="11" t="s">
        <v>5846</v>
      </c>
      <c r="I34" s="11">
        <v>275860</v>
      </c>
      <c r="J34" s="11" t="s">
        <v>564</v>
      </c>
    </row>
    <row r="35" spans="6:23">
      <c r="G35" s="11">
        <f t="shared" si="5"/>
        <v>0</v>
      </c>
      <c r="H35" s="11" t="s">
        <v>5846</v>
      </c>
      <c r="I35" s="11">
        <v>275860</v>
      </c>
      <c r="J35" s="11" t="s">
        <v>565</v>
      </c>
    </row>
    <row r="36" spans="6:23">
      <c r="F36" t="s">
        <v>25</v>
      </c>
      <c r="G36" s="11">
        <f t="shared" si="5"/>
        <v>11860</v>
      </c>
      <c r="H36" s="11" t="s">
        <v>5358</v>
      </c>
      <c r="I36" s="11">
        <v>264000</v>
      </c>
      <c r="J36" s="11" t="s">
        <v>636</v>
      </c>
      <c r="O36" s="22"/>
    </row>
    <row r="37" spans="6:23">
      <c r="G37" s="11">
        <f t="shared" si="5"/>
        <v>17860</v>
      </c>
      <c r="H37" s="11" t="s">
        <v>5167</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4730</v>
      </c>
      <c r="I46" s="11">
        <v>248200</v>
      </c>
      <c r="J46" s="11" t="s">
        <v>4739</v>
      </c>
      <c r="M46" s="25"/>
      <c r="N46" s="25"/>
      <c r="O46" s="25"/>
      <c r="P46" s="25"/>
      <c r="Q46" s="25"/>
      <c r="R46" s="25"/>
      <c r="S46" s="25"/>
      <c r="T46" s="25"/>
      <c r="U46" s="25"/>
      <c r="V46" s="25"/>
      <c r="W46" s="25"/>
    </row>
    <row r="47" spans="6:23">
      <c r="G47" s="97">
        <f t="shared" si="5"/>
        <v>18860</v>
      </c>
      <c r="H47" s="97" t="s">
        <v>5126</v>
      </c>
      <c r="I47" s="97">
        <v>257000</v>
      </c>
      <c r="J47" s="97" t="s">
        <v>5157</v>
      </c>
      <c r="M47" s="25"/>
      <c r="N47" s="25"/>
      <c r="O47" s="25"/>
      <c r="P47" s="25"/>
      <c r="Q47" s="25"/>
      <c r="R47" s="25"/>
      <c r="S47" s="25"/>
      <c r="T47" s="25"/>
      <c r="U47" s="25"/>
      <c r="V47" s="25"/>
      <c r="W47" s="25"/>
    </row>
    <row r="48" spans="6:23">
      <c r="G48" s="97">
        <f t="shared" si="5"/>
        <v>0</v>
      </c>
      <c r="H48" s="97" t="s">
        <v>5848</v>
      </c>
      <c r="I48" s="97">
        <v>275860</v>
      </c>
      <c r="J48" s="97" t="s">
        <v>5847</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5571</v>
      </c>
      <c r="M53" s="25"/>
      <c r="N53" s="25"/>
      <c r="O53" s="68"/>
      <c r="P53" s="25"/>
      <c r="Q53" s="69"/>
      <c r="R53" s="25"/>
      <c r="S53" s="69"/>
      <c r="T53" s="25"/>
      <c r="U53" s="25"/>
      <c r="V53" s="25"/>
      <c r="W53" s="25"/>
    </row>
    <row r="54" spans="7:23">
      <c r="G54" s="97">
        <f>$I$73-I54</f>
        <v>6000</v>
      </c>
      <c r="H54" s="97" t="s">
        <v>5312</v>
      </c>
      <c r="I54" s="97">
        <v>38000</v>
      </c>
      <c r="J54" s="97" t="s">
        <v>561</v>
      </c>
      <c r="M54" s="25"/>
      <c r="N54" s="25"/>
      <c r="O54" s="25"/>
      <c r="P54" s="25"/>
      <c r="Q54" s="69"/>
      <c r="R54" s="25"/>
      <c r="S54" s="69"/>
      <c r="T54" s="25"/>
      <c r="U54" s="25"/>
      <c r="V54" s="25"/>
      <c r="W54" s="25"/>
    </row>
    <row r="55" spans="7:23">
      <c r="G55" s="97">
        <f t="shared" ref="G55:G72" si="6">$I$73-I55</f>
        <v>6000</v>
      </c>
      <c r="H55" s="97" t="s">
        <v>5312</v>
      </c>
      <c r="I55" s="97">
        <v>38000</v>
      </c>
      <c r="J55" s="97" t="s">
        <v>562</v>
      </c>
      <c r="M55" s="25"/>
      <c r="N55" s="25"/>
      <c r="O55" s="25"/>
      <c r="P55" s="25"/>
      <c r="Q55" s="69"/>
      <c r="R55" s="25"/>
      <c r="S55" s="69"/>
      <c r="T55" s="25"/>
      <c r="U55" s="28"/>
      <c r="V55" s="25"/>
      <c r="W55" s="25"/>
    </row>
    <row r="56" spans="7:23">
      <c r="G56" s="97">
        <f t="shared" si="6"/>
        <v>1500</v>
      </c>
      <c r="H56" s="97" t="s">
        <v>5810</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5810</v>
      </c>
      <c r="I58" s="97">
        <v>42500</v>
      </c>
      <c r="J58" s="97" t="s">
        <v>563</v>
      </c>
      <c r="M58" s="25"/>
      <c r="N58" s="25"/>
      <c r="O58" s="25"/>
      <c r="P58" s="25"/>
      <c r="Q58" s="69"/>
      <c r="R58" s="25"/>
      <c r="S58" s="69"/>
      <c r="T58" s="25"/>
      <c r="U58" s="25"/>
      <c r="V58" s="25"/>
      <c r="W58" s="25"/>
    </row>
    <row r="59" spans="7:23">
      <c r="G59" s="97">
        <f t="shared" si="6"/>
        <v>1500</v>
      </c>
      <c r="H59" s="97" t="s">
        <v>5810</v>
      </c>
      <c r="I59" s="97">
        <v>42500</v>
      </c>
      <c r="J59" s="97" t="s">
        <v>564</v>
      </c>
      <c r="M59" s="25"/>
      <c r="N59" s="25"/>
      <c r="O59" s="25"/>
      <c r="P59" s="25"/>
      <c r="Q59" s="69"/>
      <c r="R59" s="25"/>
      <c r="S59" s="69"/>
      <c r="T59" s="25"/>
      <c r="U59" s="25"/>
      <c r="V59" s="25"/>
      <c r="W59" s="25"/>
    </row>
    <row r="60" spans="7:23">
      <c r="G60" s="97">
        <f t="shared" si="6"/>
        <v>1500</v>
      </c>
      <c r="H60" s="97" t="s">
        <v>5810</v>
      </c>
      <c r="I60" s="97">
        <v>42500</v>
      </c>
      <c r="J60" s="97" t="s">
        <v>565</v>
      </c>
      <c r="M60" s="25"/>
      <c r="N60" s="25"/>
      <c r="O60" s="25"/>
      <c r="P60" s="25"/>
      <c r="Q60" s="69"/>
      <c r="R60" s="25"/>
      <c r="S60" s="69"/>
      <c r="T60" s="25"/>
      <c r="U60" s="25"/>
      <c r="V60" s="25"/>
      <c r="W60" s="25"/>
    </row>
    <row r="61" spans="7:23">
      <c r="G61" s="97">
        <f t="shared" si="6"/>
        <v>44000</v>
      </c>
      <c r="H61" s="97" t="s">
        <v>5358</v>
      </c>
      <c r="I61" s="97">
        <v>0</v>
      </c>
      <c r="J61" s="97" t="s">
        <v>636</v>
      </c>
      <c r="M61" s="25"/>
      <c r="N61" s="25"/>
      <c r="O61" s="25"/>
      <c r="P61" s="25"/>
      <c r="Q61" s="69"/>
      <c r="R61" s="25"/>
      <c r="S61" s="69"/>
      <c r="T61" s="25"/>
      <c r="U61" s="25"/>
      <c r="V61" s="25"/>
      <c r="W61" s="25"/>
    </row>
    <row r="62" spans="7:23">
      <c r="G62" s="97">
        <f t="shared" si="6"/>
        <v>44000</v>
      </c>
      <c r="H62" s="97" t="s">
        <v>5167</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5810</v>
      </c>
      <c r="I70" s="97">
        <v>42500</v>
      </c>
      <c r="J70" s="97" t="s">
        <v>1086</v>
      </c>
    </row>
    <row r="71" spans="7:17">
      <c r="G71" s="97">
        <f t="shared" si="6"/>
        <v>44000</v>
      </c>
      <c r="H71" s="97" t="s">
        <v>4730</v>
      </c>
      <c r="I71" s="97">
        <v>0</v>
      </c>
      <c r="J71" s="97" t="s">
        <v>4739</v>
      </c>
    </row>
    <row r="72" spans="7:17">
      <c r="G72" s="97">
        <f t="shared" si="6"/>
        <v>44000</v>
      </c>
      <c r="H72" s="97" t="s">
        <v>5126</v>
      </c>
      <c r="I72" s="97">
        <v>0</v>
      </c>
      <c r="J72" s="97" t="s">
        <v>5157</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5"/>
  <sheetViews>
    <sheetView zoomScaleNormal="100" workbookViewId="0">
      <selection activeCell="E9" sqref="E9"/>
    </sheetView>
  </sheetViews>
  <sheetFormatPr defaultRowHeight="15"/>
  <cols>
    <col min="1" max="1" width="15.5703125" customWidth="1"/>
    <col min="2" max="2" width="25.7109375" bestFit="1" customWidth="1"/>
    <col min="3" max="3" width="19.5703125" style="94" customWidth="1"/>
    <col min="4" max="4" width="25.85546875" style="94" bestFit="1" customWidth="1"/>
    <col min="5" max="5" width="14.28515625" customWidth="1"/>
    <col min="6" max="6" width="27" bestFit="1" customWidth="1"/>
    <col min="7" max="7" width="14.28515625" bestFit="1" customWidth="1"/>
    <col min="8" max="8" width="19.28515625" bestFit="1" customWidth="1"/>
    <col min="9" max="9" width="28.42578125"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85546875" bestFit="1" customWidth="1"/>
    <col min="17" max="17" width="12.85546875" bestFit="1" customWidth="1"/>
    <col min="18" max="18" width="30.42578125" customWidth="1"/>
  </cols>
  <sheetData>
    <row r="1" spans="1:25">
      <c r="A1" s="210" t="s">
        <v>4843</v>
      </c>
      <c r="B1" s="210" t="s">
        <v>4844</v>
      </c>
      <c r="C1" s="187" t="s">
        <v>5916</v>
      </c>
      <c r="D1" s="187" t="s">
        <v>5917</v>
      </c>
      <c r="E1" s="210" t="s">
        <v>5559</v>
      </c>
      <c r="F1" s="210" t="s">
        <v>5560</v>
      </c>
      <c r="G1" s="210" t="s">
        <v>5918</v>
      </c>
      <c r="H1" s="210" t="s">
        <v>5914</v>
      </c>
      <c r="I1" s="210" t="s">
        <v>4853</v>
      </c>
      <c r="J1" s="210" t="s">
        <v>4852</v>
      </c>
      <c r="K1" s="210" t="s">
        <v>4248</v>
      </c>
      <c r="L1" s="54" t="s">
        <v>4936</v>
      </c>
      <c r="O1" t="s">
        <v>4846</v>
      </c>
      <c r="P1" t="s">
        <v>4849</v>
      </c>
      <c r="Q1" t="s">
        <v>4850</v>
      </c>
    </row>
    <row r="2" spans="1:25">
      <c r="A2" s="195" t="s">
        <v>4845</v>
      </c>
      <c r="B2" s="195">
        <v>1114343604</v>
      </c>
      <c r="C2" s="187">
        <v>950</v>
      </c>
      <c r="D2" s="187">
        <f>B2*C2/$O$2</f>
        <v>14.703144775</v>
      </c>
      <c r="E2" s="195">
        <v>2000</v>
      </c>
      <c r="F2" s="195">
        <f>B2*E2/$O$2</f>
        <v>30.953989</v>
      </c>
      <c r="G2" s="225">
        <v>2800</v>
      </c>
      <c r="H2" s="225">
        <f>B2*G2/$O$2</f>
        <v>43.335584599999997</v>
      </c>
      <c r="I2" s="195"/>
      <c r="J2" s="195"/>
      <c r="K2" s="195">
        <v>15500</v>
      </c>
      <c r="L2" s="195">
        <f>B2*K2/$O$2</f>
        <v>239.89341475000001</v>
      </c>
      <c r="O2">
        <v>72000000000</v>
      </c>
      <c r="P2">
        <v>27416800780</v>
      </c>
      <c r="Q2">
        <v>40500000000</v>
      </c>
    </row>
    <row r="3" spans="1:25">
      <c r="A3" s="189" t="s">
        <v>4847</v>
      </c>
      <c r="B3" s="189">
        <v>5320000000</v>
      </c>
      <c r="C3" s="187">
        <v>160</v>
      </c>
      <c r="D3" s="187">
        <f>B3*C3/$O$2</f>
        <v>11.822222222222223</v>
      </c>
      <c r="E3" s="189">
        <v>150</v>
      </c>
      <c r="F3" s="189">
        <f>B3*E3/$O$2</f>
        <v>11.083333333333334</v>
      </c>
      <c r="G3" s="225">
        <v>150</v>
      </c>
      <c r="H3" s="225">
        <f t="shared" ref="H3:H5" si="0">B3*G3/$O$2</f>
        <v>11.083333333333334</v>
      </c>
      <c r="I3" s="189"/>
      <c r="J3" s="189"/>
      <c r="K3" s="189">
        <v>4750</v>
      </c>
      <c r="L3" s="189">
        <f>B3*K3/$O$2</f>
        <v>350.97222222222223</v>
      </c>
      <c r="P3">
        <f>P2/Q2</f>
        <v>0.67695804395061732</v>
      </c>
    </row>
    <row r="4" spans="1:25">
      <c r="A4" s="189" t="s">
        <v>4848</v>
      </c>
      <c r="B4" s="189">
        <v>8000000</v>
      </c>
      <c r="C4" s="187">
        <v>42</v>
      </c>
      <c r="D4" s="187">
        <f>B4*C4/$O$2</f>
        <v>4.6666666666666671E-3</v>
      </c>
      <c r="E4" s="189">
        <v>330</v>
      </c>
      <c r="F4" s="189">
        <f>B4*E4/$O$2</f>
        <v>3.6666666666666667E-2</v>
      </c>
      <c r="G4" s="225">
        <v>380</v>
      </c>
      <c r="H4" s="225">
        <f t="shared" si="0"/>
        <v>4.2222222222222223E-2</v>
      </c>
      <c r="I4" s="189"/>
      <c r="J4" s="189"/>
      <c r="K4" s="189">
        <v>2720</v>
      </c>
      <c r="L4" s="189">
        <f>B4*K4/$O$2</f>
        <v>0.30222222222222223</v>
      </c>
    </row>
    <row r="5" spans="1:25">
      <c r="A5" s="5"/>
      <c r="B5" s="5"/>
      <c r="C5" s="5"/>
      <c r="D5" s="5"/>
      <c r="E5" s="5"/>
      <c r="F5" s="5">
        <f>B5*E5/$O$2</f>
        <v>0</v>
      </c>
      <c r="G5" s="5"/>
      <c r="H5" s="5">
        <f t="shared" si="0"/>
        <v>0</v>
      </c>
      <c r="I5" s="5"/>
      <c r="J5" s="5"/>
      <c r="K5" s="5"/>
      <c r="L5" s="210"/>
      <c r="O5" s="94"/>
      <c r="P5" s="94"/>
      <c r="Q5" s="94"/>
      <c r="R5" s="94"/>
      <c r="S5" s="94"/>
      <c r="T5" s="94"/>
      <c r="U5" s="94"/>
      <c r="V5" s="94"/>
      <c r="W5" s="94"/>
    </row>
    <row r="6" spans="1:25">
      <c r="A6" s="195" t="s">
        <v>4845</v>
      </c>
      <c r="B6" s="195">
        <v>1124128522</v>
      </c>
      <c r="C6" s="187">
        <f>C2</f>
        <v>950</v>
      </c>
      <c r="D6" s="187">
        <f t="shared" ref="D6:D14" si="1">B6*C6*$P$3/$O$2</f>
        <v>10.040811849057048</v>
      </c>
      <c r="E6" s="195">
        <f>E2</f>
        <v>2000</v>
      </c>
      <c r="F6" s="195">
        <f t="shared" ref="F6:F14" si="2">B6*E6*$P$3/$O$2</f>
        <v>21.138551261172736</v>
      </c>
      <c r="G6" s="225">
        <f>G2</f>
        <v>2800</v>
      </c>
      <c r="H6" s="225">
        <f>B6*G6*$P$3/$O$2</f>
        <v>29.593971765641829</v>
      </c>
      <c r="I6" s="195">
        <v>0</v>
      </c>
      <c r="J6" s="195">
        <f t="shared" ref="J6:J18" si="3">B6*I6*$P$3/$O$2</f>
        <v>0</v>
      </c>
      <c r="K6" s="195">
        <f>K2</f>
        <v>15500</v>
      </c>
      <c r="L6" s="195">
        <f t="shared" ref="L6:L14" si="4">B6*K6*$P$3/$O$2</f>
        <v>163.8237722740887</v>
      </c>
      <c r="M6">
        <f>B6*E6/$Q$2</f>
        <v>55.512519604938269</v>
      </c>
      <c r="N6" s="94">
        <f>B6*G6/$Q$2</f>
        <v>77.717527446913579</v>
      </c>
      <c r="O6" s="94"/>
      <c r="P6" s="94"/>
      <c r="Q6" s="94"/>
      <c r="R6" s="94"/>
      <c r="S6" s="94"/>
      <c r="T6" s="94"/>
      <c r="U6" s="94"/>
      <c r="V6" s="94"/>
      <c r="W6" s="94"/>
      <c r="X6" s="94"/>
      <c r="Y6" s="94"/>
    </row>
    <row r="7" spans="1:25">
      <c r="A7" s="189" t="s">
        <v>4851</v>
      </c>
      <c r="B7" s="189">
        <v>556303872</v>
      </c>
      <c r="C7" s="187">
        <v>70</v>
      </c>
      <c r="D7" s="187">
        <f t="shared" si="1"/>
        <v>0.36613342600262805</v>
      </c>
      <c r="E7" s="189">
        <v>1500</v>
      </c>
      <c r="F7" s="189">
        <f t="shared" si="2"/>
        <v>7.8457162714848874</v>
      </c>
      <c r="G7" s="225">
        <v>1800</v>
      </c>
      <c r="H7" s="225">
        <f t="shared" ref="H7:H14" si="5">B7*G7*$P$3/$O$2</f>
        <v>9.4148595257818659</v>
      </c>
      <c r="I7" s="189">
        <v>300</v>
      </c>
      <c r="J7" s="189">
        <f t="shared" si="3"/>
        <v>1.5691432542969774</v>
      </c>
      <c r="K7" s="189">
        <v>11400</v>
      </c>
      <c r="L7" s="189">
        <f t="shared" si="4"/>
        <v>59.627443663285142</v>
      </c>
      <c r="M7" s="94">
        <f t="shared" ref="M7:M14" si="6">B7*E7/$Q$2</f>
        <v>20.603847111111111</v>
      </c>
      <c r="N7" s="94">
        <f t="shared" ref="N7:N14" si="7">B7*G7/$Q$2</f>
        <v>24.724616533333332</v>
      </c>
      <c r="O7" s="94"/>
      <c r="P7" s="94"/>
      <c r="Q7" s="94"/>
      <c r="R7" s="94"/>
      <c r="S7" s="94"/>
      <c r="T7" s="94"/>
      <c r="U7" s="94"/>
      <c r="V7" s="94"/>
      <c r="W7" s="94"/>
      <c r="X7" s="94"/>
      <c r="Y7" s="94"/>
    </row>
    <row r="8" spans="1:25">
      <c r="A8" s="189" t="s">
        <v>4848</v>
      </c>
      <c r="B8" s="189">
        <v>4374853691</v>
      </c>
      <c r="C8" s="187">
        <f>C4</f>
        <v>42</v>
      </c>
      <c r="D8" s="187">
        <f t="shared" si="1"/>
        <v>1.7275955650505408</v>
      </c>
      <c r="E8" s="189">
        <f>E4</f>
        <v>330</v>
      </c>
      <c r="F8" s="189">
        <f t="shared" si="2"/>
        <v>13.573965153968535</v>
      </c>
      <c r="G8" s="225">
        <f>G4</f>
        <v>380</v>
      </c>
      <c r="H8" s="225">
        <f t="shared" si="5"/>
        <v>15.630626540933465</v>
      </c>
      <c r="I8" s="189"/>
      <c r="J8" s="189">
        <f t="shared" si="3"/>
        <v>0</v>
      </c>
      <c r="K8" s="189">
        <f>K4</f>
        <v>2720</v>
      </c>
      <c r="L8" s="189">
        <f t="shared" si="4"/>
        <v>111.88237945089216</v>
      </c>
      <c r="M8" s="94">
        <f t="shared" si="6"/>
        <v>35.646956000740744</v>
      </c>
      <c r="N8" s="94">
        <f t="shared" si="7"/>
        <v>41.048009940246914</v>
      </c>
      <c r="O8" s="94"/>
      <c r="P8" s="94"/>
      <c r="Q8" s="94"/>
      <c r="R8" s="94"/>
      <c r="S8" s="94"/>
      <c r="T8" s="94"/>
      <c r="U8" s="94"/>
      <c r="V8" s="94"/>
      <c r="W8" s="94"/>
      <c r="X8" s="94"/>
      <c r="Y8" s="94"/>
    </row>
    <row r="9" spans="1:25">
      <c r="A9" s="210" t="s">
        <v>4854</v>
      </c>
      <c r="B9" s="210">
        <v>4126766661</v>
      </c>
      <c r="C9" s="187">
        <v>680</v>
      </c>
      <c r="D9" s="187">
        <f t="shared" si="1"/>
        <v>26.384452263005592</v>
      </c>
      <c r="E9" s="210">
        <v>1600</v>
      </c>
      <c r="F9" s="210">
        <f t="shared" si="2"/>
        <v>62.081064148248451</v>
      </c>
      <c r="G9" s="225">
        <v>2000</v>
      </c>
      <c r="H9" s="225">
        <f t="shared" si="5"/>
        <v>77.601330185310559</v>
      </c>
      <c r="I9" s="210"/>
      <c r="J9" s="210">
        <f t="shared" si="3"/>
        <v>0</v>
      </c>
      <c r="K9" s="210">
        <v>10100</v>
      </c>
      <c r="L9" s="210">
        <f t="shared" si="4"/>
        <v>391.88671743581835</v>
      </c>
      <c r="M9" s="94">
        <f t="shared" si="6"/>
        <v>163.03275697777778</v>
      </c>
      <c r="N9" s="94">
        <f t="shared" si="7"/>
        <v>203.79094622222223</v>
      </c>
      <c r="O9" s="94"/>
      <c r="P9" s="94" t="s">
        <v>25</v>
      </c>
      <c r="Q9" s="94"/>
      <c r="R9" s="94"/>
      <c r="S9" s="94"/>
      <c r="T9" s="94"/>
      <c r="U9" s="94"/>
      <c r="V9" s="94"/>
      <c r="W9" s="94"/>
    </row>
    <row r="10" spans="1:25">
      <c r="A10" s="196" t="s">
        <v>4855</v>
      </c>
      <c r="B10" s="196">
        <v>2693179034</v>
      </c>
      <c r="C10" s="187">
        <v>20</v>
      </c>
      <c r="D10" s="187">
        <f t="shared" si="1"/>
        <v>0.50643589190707028</v>
      </c>
      <c r="E10" s="196">
        <v>620</v>
      </c>
      <c r="F10" s="196">
        <f t="shared" si="2"/>
        <v>15.699512649119178</v>
      </c>
      <c r="G10" s="225">
        <v>750</v>
      </c>
      <c r="H10" s="225">
        <f t="shared" si="5"/>
        <v>18.991345946515136</v>
      </c>
      <c r="I10" s="196"/>
      <c r="J10" s="196">
        <f t="shared" si="3"/>
        <v>0</v>
      </c>
      <c r="K10" s="196">
        <v>5850</v>
      </c>
      <c r="L10" s="196">
        <f t="shared" si="4"/>
        <v>148.13249838281806</v>
      </c>
      <c r="M10" s="94">
        <f t="shared" si="6"/>
        <v>41.228913606913579</v>
      </c>
      <c r="N10" s="94">
        <f t="shared" si="7"/>
        <v>49.873685814814813</v>
      </c>
      <c r="O10" s="94"/>
      <c r="P10" s="94" t="s">
        <v>25</v>
      </c>
      <c r="Q10" s="94"/>
      <c r="R10" s="94"/>
      <c r="S10" s="94"/>
      <c r="T10" s="94"/>
      <c r="U10" s="94"/>
      <c r="V10" s="94"/>
      <c r="W10" s="94"/>
    </row>
    <row r="11" spans="1:25">
      <c r="A11" s="189" t="s">
        <v>4856</v>
      </c>
      <c r="B11" s="189">
        <v>4953996962</v>
      </c>
      <c r="C11" s="187">
        <v>70</v>
      </c>
      <c r="D11" s="187">
        <f t="shared" si="1"/>
        <v>3.260491201656909</v>
      </c>
      <c r="E11" s="189">
        <v>300</v>
      </c>
      <c r="F11" s="189">
        <f t="shared" si="2"/>
        <v>13.973533721386753</v>
      </c>
      <c r="G11" s="225">
        <v>350</v>
      </c>
      <c r="H11" s="225">
        <f t="shared" si="5"/>
        <v>16.302456008284548</v>
      </c>
      <c r="I11" s="189"/>
      <c r="J11" s="189">
        <f t="shared" si="3"/>
        <v>0</v>
      </c>
      <c r="K11" s="189">
        <v>3110</v>
      </c>
      <c r="L11" s="189">
        <f t="shared" si="4"/>
        <v>144.85896624504267</v>
      </c>
      <c r="M11" s="94">
        <f t="shared" si="6"/>
        <v>36.696273792592592</v>
      </c>
      <c r="N11" s="94">
        <f t="shared" si="7"/>
        <v>42.81231942469136</v>
      </c>
      <c r="O11" s="94"/>
      <c r="P11" s="94"/>
      <c r="Q11" s="94"/>
      <c r="R11" s="94"/>
      <c r="S11" s="94"/>
      <c r="T11" s="94"/>
      <c r="U11" s="94"/>
      <c r="V11" s="94"/>
      <c r="W11" s="94"/>
    </row>
    <row r="12" spans="1:25">
      <c r="A12" s="189" t="s">
        <v>5530</v>
      </c>
      <c r="B12" s="189">
        <v>1636875595</v>
      </c>
      <c r="C12" s="187">
        <v>60</v>
      </c>
      <c r="D12" s="187">
        <f t="shared" si="1"/>
        <v>0.92341341748475247</v>
      </c>
      <c r="E12" s="189">
        <v>375</v>
      </c>
      <c r="F12" s="189">
        <f t="shared" si="2"/>
        <v>5.7713338592797019</v>
      </c>
      <c r="G12" s="225">
        <v>430</v>
      </c>
      <c r="H12" s="225">
        <f t="shared" si="5"/>
        <v>6.6177961586407257</v>
      </c>
      <c r="I12" s="189"/>
      <c r="J12" s="189">
        <f t="shared" si="3"/>
        <v>0</v>
      </c>
      <c r="K12" s="189">
        <v>3900</v>
      </c>
      <c r="L12" s="189">
        <f t="shared" si="4"/>
        <v>60.021872136508904</v>
      </c>
      <c r="M12" s="94">
        <f t="shared" si="6"/>
        <v>15.156255509259259</v>
      </c>
      <c r="N12" s="94">
        <f t="shared" si="7"/>
        <v>17.379172983950617</v>
      </c>
      <c r="O12" s="94"/>
      <c r="P12" s="94"/>
      <c r="Q12" s="94"/>
      <c r="R12" s="94"/>
      <c r="S12" s="94"/>
      <c r="T12" s="94"/>
      <c r="U12" s="94"/>
      <c r="V12" s="94"/>
      <c r="W12" s="94"/>
    </row>
    <row r="13" spans="1:25">
      <c r="A13" s="189" t="s">
        <v>4361</v>
      </c>
      <c r="B13" s="189">
        <v>813683684</v>
      </c>
      <c r="C13" s="187">
        <v>1100</v>
      </c>
      <c r="D13" s="187">
        <f t="shared" si="1"/>
        <v>8.4154539809262427</v>
      </c>
      <c r="E13" s="189">
        <v>2800</v>
      </c>
      <c r="F13" s="189">
        <f t="shared" si="2"/>
        <v>21.421155587812251</v>
      </c>
      <c r="G13" s="225">
        <v>4500</v>
      </c>
      <c r="H13" s="225">
        <f t="shared" si="5"/>
        <v>34.426857194698265</v>
      </c>
      <c r="I13" s="189"/>
      <c r="J13" s="189">
        <f t="shared" si="3"/>
        <v>0</v>
      </c>
      <c r="K13" s="189">
        <v>21700</v>
      </c>
      <c r="L13" s="189">
        <f t="shared" si="4"/>
        <v>166.01395580554495</v>
      </c>
      <c r="M13" s="94">
        <f t="shared" si="6"/>
        <v>56.254674449382719</v>
      </c>
      <c r="N13" s="94">
        <f t="shared" si="7"/>
        <v>90.409298222222219</v>
      </c>
      <c r="P13" s="94" t="s">
        <v>25</v>
      </c>
      <c r="Q13" s="94"/>
      <c r="R13" s="94"/>
      <c r="S13" s="94"/>
      <c r="T13" s="94"/>
      <c r="U13" s="94"/>
      <c r="V13" s="94"/>
      <c r="W13" s="94"/>
    </row>
    <row r="14" spans="1:25">
      <c r="A14" s="189" t="s">
        <v>4857</v>
      </c>
      <c r="B14" s="189">
        <v>236958025</v>
      </c>
      <c r="C14" s="187">
        <v>420</v>
      </c>
      <c r="D14" s="187">
        <f t="shared" si="1"/>
        <v>0.93572873976400861</v>
      </c>
      <c r="E14" s="189">
        <v>850</v>
      </c>
      <c r="F14" s="189">
        <f t="shared" si="2"/>
        <v>1.8937367352366841</v>
      </c>
      <c r="G14" s="225">
        <v>1000</v>
      </c>
      <c r="H14" s="225">
        <f t="shared" si="5"/>
        <v>2.2279255708666872</v>
      </c>
      <c r="I14" s="189"/>
      <c r="J14" s="189">
        <f t="shared" si="3"/>
        <v>0</v>
      </c>
      <c r="K14" s="189">
        <v>7800</v>
      </c>
      <c r="L14" s="189">
        <f t="shared" si="4"/>
        <v>17.377819452760161</v>
      </c>
      <c r="M14" s="94">
        <f t="shared" si="6"/>
        <v>4.9731931172839507</v>
      </c>
      <c r="N14" s="94">
        <f t="shared" si="7"/>
        <v>5.8508154320987655</v>
      </c>
      <c r="P14" s="94"/>
      <c r="Q14" s="94"/>
      <c r="R14" s="94"/>
      <c r="S14" s="94"/>
      <c r="T14" s="94"/>
      <c r="U14" s="94"/>
      <c r="V14" s="94"/>
      <c r="W14" s="94"/>
    </row>
    <row r="15" spans="1:25">
      <c r="A15" s="210" t="s">
        <v>5915</v>
      </c>
      <c r="B15" s="210"/>
      <c r="C15" s="187"/>
      <c r="D15" s="187">
        <v>23</v>
      </c>
      <c r="E15" s="189"/>
      <c r="F15" s="189">
        <v>58</v>
      </c>
      <c r="G15" s="225"/>
      <c r="H15" s="225">
        <v>75</v>
      </c>
      <c r="I15" s="210"/>
      <c r="J15" s="210">
        <f t="shared" si="3"/>
        <v>0</v>
      </c>
      <c r="K15" s="97" t="s">
        <v>5431</v>
      </c>
      <c r="L15" s="210">
        <v>350</v>
      </c>
      <c r="P15" s="94"/>
      <c r="Q15" s="94"/>
      <c r="R15" s="94"/>
      <c r="S15" s="94"/>
      <c r="T15" s="94"/>
      <c r="U15" s="94"/>
      <c r="V15" s="94"/>
      <c r="W15" s="94"/>
    </row>
    <row r="16" spans="1:25">
      <c r="A16" s="210"/>
      <c r="B16" s="210"/>
      <c r="C16" s="210"/>
      <c r="D16" s="210" t="s">
        <v>25</v>
      </c>
      <c r="E16" s="210"/>
      <c r="F16" s="210">
        <f>B16*E16*$P$3/$O$2</f>
        <v>0</v>
      </c>
      <c r="G16" s="210"/>
      <c r="H16" s="210"/>
      <c r="I16" s="210"/>
      <c r="J16" s="210">
        <f t="shared" si="3"/>
        <v>0</v>
      </c>
      <c r="K16" s="97" t="s">
        <v>5642</v>
      </c>
      <c r="L16" s="210">
        <v>210</v>
      </c>
      <c r="P16" s="94"/>
      <c r="Q16" s="94"/>
      <c r="R16" s="94"/>
      <c r="S16" s="94" t="s">
        <v>25</v>
      </c>
      <c r="T16" s="94"/>
      <c r="U16" s="94"/>
      <c r="V16" s="94"/>
      <c r="W16" s="94"/>
    </row>
    <row r="17" spans="1:23">
      <c r="A17" s="210"/>
      <c r="B17" s="210"/>
      <c r="C17" s="210"/>
      <c r="D17" s="210"/>
      <c r="E17" s="210"/>
      <c r="F17" s="210">
        <f>B17*E17*$P$3/$O$2</f>
        <v>0</v>
      </c>
      <c r="G17" s="210"/>
      <c r="H17" s="210"/>
      <c r="I17" s="210"/>
      <c r="J17" s="210">
        <f t="shared" si="3"/>
        <v>0</v>
      </c>
      <c r="K17" s="97" t="s">
        <v>5432</v>
      </c>
      <c r="L17" s="210">
        <v>350</v>
      </c>
      <c r="P17" s="94"/>
      <c r="Q17" s="94"/>
      <c r="R17" s="94"/>
      <c r="S17" s="94"/>
      <c r="T17" s="94"/>
      <c r="U17" s="94"/>
      <c r="V17" s="94"/>
      <c r="W17" s="94"/>
    </row>
    <row r="18" spans="1:23">
      <c r="A18" s="210"/>
      <c r="B18" s="210"/>
      <c r="C18" s="210"/>
      <c r="D18" s="210"/>
      <c r="E18" s="210"/>
      <c r="F18" s="210">
        <f>B18*E18*$P$3/$O$2</f>
        <v>0</v>
      </c>
      <c r="G18" s="210"/>
      <c r="H18" s="210"/>
      <c r="I18" s="210"/>
      <c r="J18" s="210">
        <f t="shared" si="3"/>
        <v>0</v>
      </c>
      <c r="K18" s="210"/>
      <c r="L18" s="210"/>
      <c r="P18" s="94"/>
      <c r="Q18" s="94"/>
      <c r="R18" s="94"/>
      <c r="S18" s="94"/>
      <c r="T18" s="94"/>
      <c r="U18" s="94"/>
      <c r="V18" s="94"/>
      <c r="W18" s="94"/>
    </row>
    <row r="19" spans="1:23">
      <c r="A19" s="210"/>
      <c r="B19" s="210"/>
      <c r="C19" s="210"/>
      <c r="D19" s="210"/>
      <c r="E19" s="210"/>
      <c r="F19" s="210"/>
      <c r="G19" s="210"/>
      <c r="H19" s="210"/>
      <c r="I19" s="210"/>
      <c r="J19" s="210"/>
      <c r="K19" s="210"/>
      <c r="L19" s="210" t="s">
        <v>4438</v>
      </c>
      <c r="N19" t="s">
        <v>25</v>
      </c>
    </row>
    <row r="20" spans="1:23">
      <c r="A20" s="210"/>
      <c r="B20" s="210"/>
      <c r="C20" s="210"/>
      <c r="D20" s="210">
        <f>SUM(D2:D18)</f>
        <v>102.09054999874368</v>
      </c>
      <c r="E20" s="210"/>
      <c r="F20" s="210">
        <f>SUM(F2:F17)</f>
        <v>263.47255838770917</v>
      </c>
      <c r="G20" s="210"/>
      <c r="H20" s="210">
        <f>SUM(H2:H17)</f>
        <v>340.26830905222857</v>
      </c>
      <c r="I20" s="210"/>
      <c r="J20" s="210"/>
      <c r="K20" s="210"/>
      <c r="L20" s="210">
        <f>SUM(L2:L18)</f>
        <v>2764.7932840412032</v>
      </c>
    </row>
    <row r="21" spans="1:23">
      <c r="A21" s="210"/>
      <c r="B21" s="210"/>
      <c r="C21" s="210"/>
      <c r="D21" s="210" t="s">
        <v>6</v>
      </c>
      <c r="E21" s="210"/>
      <c r="F21" s="210" t="s">
        <v>6</v>
      </c>
      <c r="G21" s="210"/>
      <c r="H21" s="210" t="s">
        <v>6</v>
      </c>
      <c r="I21" s="210"/>
      <c r="J21" s="210"/>
      <c r="K21" s="210"/>
      <c r="L21" s="97"/>
    </row>
    <row r="22" spans="1:23">
      <c r="A22" s="210"/>
      <c r="B22" s="210"/>
      <c r="C22" s="210"/>
      <c r="D22" s="210"/>
      <c r="E22" s="210"/>
      <c r="F22" s="210"/>
      <c r="G22" s="210"/>
      <c r="H22" s="210"/>
      <c r="I22" s="210"/>
      <c r="K22" s="210" t="s">
        <v>5038</v>
      </c>
      <c r="L22" s="210" t="s">
        <v>5039</v>
      </c>
    </row>
    <row r="23" spans="1:23">
      <c r="A23" s="210"/>
      <c r="B23" s="210"/>
      <c r="C23" s="210"/>
      <c r="D23" s="210"/>
      <c r="E23" s="210"/>
      <c r="F23" s="210"/>
      <c r="G23" s="210"/>
      <c r="H23" s="210"/>
      <c r="I23" s="210"/>
      <c r="K23" s="210">
        <v>1166</v>
      </c>
      <c r="L23" s="210">
        <f>K23/L20</f>
        <v>0.42173134849911742</v>
      </c>
    </row>
    <row r="26" spans="1:23">
      <c r="O26" t="s">
        <v>4924</v>
      </c>
    </row>
    <row r="27" spans="1:23">
      <c r="C27" s="94" t="s">
        <v>5103</v>
      </c>
      <c r="D27" s="94" t="s">
        <v>5109</v>
      </c>
      <c r="E27" t="s">
        <v>5110</v>
      </c>
      <c r="F27" t="s">
        <v>5112</v>
      </c>
      <c r="G27" t="s">
        <v>5113</v>
      </c>
      <c r="O27" s="97" t="s">
        <v>180</v>
      </c>
      <c r="P27" s="97" t="s">
        <v>267</v>
      </c>
      <c r="Q27" s="97" t="s">
        <v>4922</v>
      </c>
      <c r="R27" s="97"/>
      <c r="S27" s="94"/>
      <c r="T27" s="94"/>
      <c r="V27" t="s">
        <v>25</v>
      </c>
    </row>
    <row r="28" spans="1:23">
      <c r="C28" s="94" t="s">
        <v>5108</v>
      </c>
      <c r="D28" s="94">
        <v>1306</v>
      </c>
      <c r="E28">
        <v>0.53500000000000003</v>
      </c>
      <c r="F28">
        <f t="shared" ref="F28:F34" si="8">D28*E28*$D$39</f>
        <v>698710000</v>
      </c>
      <c r="G28">
        <f>F28*11400/1000000000</f>
        <v>7965.2939999999999</v>
      </c>
      <c r="J28" t="s">
        <v>25</v>
      </c>
      <c r="O28" s="97" t="s">
        <v>4915</v>
      </c>
      <c r="P28" s="18">
        <v>7500000</v>
      </c>
      <c r="Q28" s="97">
        <v>4</v>
      </c>
      <c r="R28" s="97"/>
      <c r="S28" s="94"/>
      <c r="T28" s="94"/>
    </row>
    <row r="29" spans="1:23">
      <c r="B29" s="94"/>
      <c r="C29" s="94" t="s">
        <v>5114</v>
      </c>
      <c r="D29" s="94">
        <v>10</v>
      </c>
      <c r="E29" s="94">
        <v>0.5</v>
      </c>
      <c r="F29" s="94">
        <f t="shared" si="8"/>
        <v>5000000</v>
      </c>
      <c r="G29" s="94">
        <f t="shared" ref="G29:G34" si="9">F29*11400/1000000000</f>
        <v>57</v>
      </c>
      <c r="O29" s="97" t="s">
        <v>4921</v>
      </c>
      <c r="P29" s="18">
        <v>-500000</v>
      </c>
      <c r="Q29" s="97">
        <v>7</v>
      </c>
      <c r="R29" s="97"/>
      <c r="S29" s="94"/>
      <c r="T29" s="94"/>
    </row>
    <row r="30" spans="1:23">
      <c r="B30" s="94"/>
      <c r="C30" s="94" t="s">
        <v>5115</v>
      </c>
      <c r="D30" s="94">
        <v>492</v>
      </c>
      <c r="E30" s="94">
        <v>0.65</v>
      </c>
      <c r="F30" s="94">
        <f t="shared" si="8"/>
        <v>319800000</v>
      </c>
      <c r="G30" s="94">
        <f t="shared" si="9"/>
        <v>3645.72</v>
      </c>
      <c r="J30" t="s">
        <v>25</v>
      </c>
      <c r="L30" t="s">
        <v>25</v>
      </c>
      <c r="O30" s="97" t="s">
        <v>4929</v>
      </c>
      <c r="P30" s="18">
        <v>-7000000</v>
      </c>
      <c r="Q30" s="97">
        <v>1</v>
      </c>
      <c r="R30" s="97"/>
      <c r="S30" s="94"/>
      <c r="T30" s="94"/>
    </row>
    <row r="31" spans="1:23">
      <c r="A31" t="s">
        <v>5839</v>
      </c>
      <c r="B31" s="94"/>
      <c r="C31" s="94" t="s">
        <v>5116</v>
      </c>
      <c r="D31" s="94">
        <v>235</v>
      </c>
      <c r="E31" s="94">
        <v>1</v>
      </c>
      <c r="F31" s="94">
        <f t="shared" si="8"/>
        <v>235000000</v>
      </c>
      <c r="G31" s="94">
        <f t="shared" si="9"/>
        <v>2679</v>
      </c>
      <c r="O31" s="97" t="s">
        <v>4932</v>
      </c>
      <c r="P31" s="18">
        <v>2000000</v>
      </c>
      <c r="Q31" s="97">
        <v>6</v>
      </c>
      <c r="R31" s="97"/>
      <c r="S31" s="94"/>
      <c r="T31" s="94"/>
    </row>
    <row r="32" spans="1:23">
      <c r="A32" s="94" t="s">
        <v>5840</v>
      </c>
      <c r="B32" s="94">
        <v>0.3</v>
      </c>
      <c r="C32" s="94" t="s">
        <v>5117</v>
      </c>
      <c r="D32" s="94">
        <v>500</v>
      </c>
      <c r="E32" s="94">
        <v>0.6</v>
      </c>
      <c r="F32" s="94">
        <f t="shared" si="8"/>
        <v>300000000</v>
      </c>
      <c r="G32" s="94">
        <f t="shared" si="9"/>
        <v>3420</v>
      </c>
      <c r="O32" s="97" t="s">
        <v>4946</v>
      </c>
      <c r="P32" s="18">
        <v>1000000</v>
      </c>
      <c r="Q32" s="97">
        <v>3</v>
      </c>
      <c r="R32" s="97"/>
      <c r="S32" s="94"/>
      <c r="T32" s="94"/>
    </row>
    <row r="33" spans="1:22">
      <c r="A33" s="94" t="s">
        <v>5322</v>
      </c>
      <c r="B33" s="18">
        <v>36000000000000</v>
      </c>
      <c r="C33" s="94" t="s">
        <v>5118</v>
      </c>
      <c r="D33" s="94">
        <v>903</v>
      </c>
      <c r="E33" s="94">
        <v>1</v>
      </c>
      <c r="F33" s="94">
        <f t="shared" si="8"/>
        <v>903000000</v>
      </c>
      <c r="G33" s="94">
        <f>F33*11400/1000000000</f>
        <v>10294.200000000001</v>
      </c>
      <c r="H33">
        <v>1</v>
      </c>
      <c r="O33" s="97" t="s">
        <v>4953</v>
      </c>
      <c r="P33" s="18">
        <v>200000</v>
      </c>
      <c r="Q33" s="97">
        <v>3</v>
      </c>
      <c r="R33" s="97"/>
      <c r="S33" s="94"/>
      <c r="T33" s="94"/>
      <c r="V33" t="s">
        <v>25</v>
      </c>
    </row>
    <row r="34" spans="1:22">
      <c r="A34" s="120" t="s">
        <v>4844</v>
      </c>
      <c r="B34" s="94">
        <v>18000000000</v>
      </c>
      <c r="E34" s="94"/>
      <c r="F34" s="94">
        <f t="shared" si="8"/>
        <v>0</v>
      </c>
      <c r="G34" s="94">
        <f t="shared" si="9"/>
        <v>0</v>
      </c>
      <c r="O34" s="97" t="s">
        <v>4956</v>
      </c>
      <c r="P34" s="18">
        <v>-3200000</v>
      </c>
      <c r="Q34" s="97">
        <v>6</v>
      </c>
      <c r="R34" s="97"/>
      <c r="S34" s="94"/>
      <c r="T34" s="94"/>
    </row>
    <row r="35" spans="1:22">
      <c r="A35" s="120" t="s">
        <v>5841</v>
      </c>
      <c r="B35" s="18">
        <f>B32*B33/B34</f>
        <v>600</v>
      </c>
      <c r="E35" s="94"/>
      <c r="F35" s="94"/>
      <c r="G35" s="94"/>
      <c r="O35" s="97" t="s">
        <v>4968</v>
      </c>
      <c r="P35" s="18">
        <v>6000000</v>
      </c>
      <c r="Q35" s="97">
        <v>1</v>
      </c>
      <c r="R35" s="97"/>
      <c r="S35" s="94"/>
      <c r="T35" s="94"/>
    </row>
    <row r="36" spans="1:22">
      <c r="A36" s="120" t="s">
        <v>5842</v>
      </c>
      <c r="B36" s="120">
        <v>872000000</v>
      </c>
      <c r="E36" s="94"/>
      <c r="F36" s="94"/>
      <c r="G36" s="94"/>
      <c r="O36" s="97" t="s">
        <v>4969</v>
      </c>
      <c r="P36" s="18">
        <v>2000000</v>
      </c>
      <c r="Q36" s="97">
        <v>3</v>
      </c>
      <c r="R36" s="97"/>
      <c r="S36" s="94"/>
      <c r="T36" s="94"/>
    </row>
    <row r="37" spans="1:22">
      <c r="A37" s="120" t="s">
        <v>5843</v>
      </c>
      <c r="B37" s="18">
        <v>750</v>
      </c>
      <c r="E37" s="94"/>
      <c r="F37" s="94"/>
      <c r="O37" s="97" t="s">
        <v>4976</v>
      </c>
      <c r="P37" s="18">
        <v>-50000</v>
      </c>
      <c r="Q37" s="97">
        <v>7</v>
      </c>
      <c r="R37" s="97"/>
      <c r="S37" s="94"/>
      <c r="T37" s="94"/>
    </row>
    <row r="38" spans="1:22">
      <c r="A38" s="120" t="s">
        <v>5844</v>
      </c>
      <c r="B38" s="94">
        <f>B36*B37/B34</f>
        <v>36.333333333333336</v>
      </c>
      <c r="C38" s="94" t="s">
        <v>5104</v>
      </c>
      <c r="D38" s="94" t="s">
        <v>5105</v>
      </c>
      <c r="E38" s="94"/>
      <c r="F38" s="94"/>
      <c r="O38" s="97" t="s">
        <v>4982</v>
      </c>
      <c r="P38" s="18">
        <v>-2480000</v>
      </c>
      <c r="Q38" s="97">
        <v>5</v>
      </c>
      <c r="R38" s="97"/>
      <c r="S38" s="94"/>
      <c r="T38" s="94"/>
    </row>
    <row r="39" spans="1:22">
      <c r="A39" s="120"/>
      <c r="B39" s="120"/>
      <c r="C39" s="94" t="s">
        <v>5111</v>
      </c>
      <c r="D39" s="94">
        <v>1000000</v>
      </c>
      <c r="E39" s="94"/>
      <c r="F39" s="94"/>
      <c r="O39" s="97" t="s">
        <v>4990</v>
      </c>
      <c r="P39" s="18">
        <v>300000</v>
      </c>
      <c r="Q39" s="97">
        <v>1</v>
      </c>
      <c r="R39" s="97"/>
      <c r="S39" s="94"/>
      <c r="T39" s="94"/>
      <c r="V39" t="s">
        <v>25</v>
      </c>
    </row>
    <row r="40" spans="1:22">
      <c r="A40" s="120"/>
      <c r="B40" s="18"/>
      <c r="C40" s="94" t="s">
        <v>5106</v>
      </c>
      <c r="D40" s="94" t="s">
        <v>5107</v>
      </c>
      <c r="E40" s="94"/>
      <c r="F40" s="94"/>
      <c r="O40" s="97" t="s">
        <v>4213</v>
      </c>
      <c r="P40" s="18">
        <v>300000</v>
      </c>
      <c r="Q40" s="97">
        <v>6</v>
      </c>
      <c r="R40" s="97"/>
      <c r="S40" s="94"/>
      <c r="T40" s="94"/>
    </row>
    <row r="41" spans="1:22">
      <c r="A41" s="120"/>
      <c r="B41" s="94"/>
      <c r="E41" s="94"/>
      <c r="F41" s="94"/>
      <c r="O41" s="97" t="s">
        <v>4999</v>
      </c>
      <c r="P41" s="18">
        <v>500000</v>
      </c>
      <c r="Q41" s="97">
        <v>2</v>
      </c>
      <c r="R41" s="97"/>
      <c r="S41" s="94"/>
      <c r="T41" s="94"/>
    </row>
    <row r="42" spans="1:22">
      <c r="A42" s="94"/>
      <c r="B42" s="94"/>
      <c r="E42" s="94"/>
      <c r="F42" s="94"/>
      <c r="O42" s="97" t="s">
        <v>5005</v>
      </c>
      <c r="P42" s="18">
        <v>100000</v>
      </c>
      <c r="Q42" s="97">
        <v>1</v>
      </c>
      <c r="R42" s="97"/>
      <c r="S42" s="94"/>
      <c r="T42" s="94"/>
      <c r="V42" t="s">
        <v>25</v>
      </c>
    </row>
    <row r="43" spans="1:22">
      <c r="A43" s="94"/>
      <c r="B43" s="94"/>
      <c r="E43" s="94"/>
      <c r="F43" s="94"/>
      <c r="O43" s="97" t="s">
        <v>5006</v>
      </c>
      <c r="P43" s="18">
        <v>-6423626</v>
      </c>
      <c r="Q43" s="97">
        <v>1</v>
      </c>
      <c r="R43" s="97"/>
      <c r="S43" s="94"/>
      <c r="T43" s="94"/>
    </row>
    <row r="44" spans="1:22">
      <c r="A44" s="94"/>
      <c r="B44" s="94"/>
      <c r="E44" s="94"/>
      <c r="F44" s="94"/>
      <c r="O44" s="97" t="s">
        <v>5009</v>
      </c>
      <c r="P44" s="18">
        <v>-4592486</v>
      </c>
      <c r="Q44" s="97">
        <v>0</v>
      </c>
      <c r="R44" s="97"/>
      <c r="S44" s="94"/>
      <c r="T44" s="94"/>
    </row>
    <row r="45" spans="1:22">
      <c r="A45" s="94"/>
      <c r="B45" s="94" t="s">
        <v>4844</v>
      </c>
      <c r="C45" s="94" t="s">
        <v>4248</v>
      </c>
      <c r="D45" s="94" t="s">
        <v>4422</v>
      </c>
      <c r="E45" s="94" t="s">
        <v>5109</v>
      </c>
      <c r="F45" s="94" t="s">
        <v>5421</v>
      </c>
      <c r="O45" s="97" t="s">
        <v>5009</v>
      </c>
      <c r="P45" s="18">
        <v>4346112</v>
      </c>
      <c r="Q45" s="97">
        <v>11</v>
      </c>
      <c r="R45" s="97"/>
      <c r="S45" s="94"/>
      <c r="T45" s="94"/>
    </row>
    <row r="46" spans="1:22">
      <c r="A46" s="94" t="s">
        <v>4854</v>
      </c>
      <c r="B46" s="94">
        <v>6</v>
      </c>
      <c r="C46" s="94">
        <v>4125</v>
      </c>
      <c r="D46" s="94">
        <f>B46*C46</f>
        <v>24750</v>
      </c>
      <c r="E46" s="94">
        <v>3</v>
      </c>
      <c r="F46" s="94">
        <f>D46/E46</f>
        <v>8250</v>
      </c>
      <c r="O46" s="97" t="s">
        <v>5022</v>
      </c>
      <c r="P46" s="18">
        <v>1500000</v>
      </c>
      <c r="Q46" s="97">
        <v>16</v>
      </c>
      <c r="R46" s="97"/>
      <c r="S46" s="94"/>
      <c r="T46" s="94"/>
    </row>
    <row r="47" spans="1:22">
      <c r="A47" s="94" t="s">
        <v>4511</v>
      </c>
      <c r="B47" s="94">
        <v>9</v>
      </c>
      <c r="C47" s="94">
        <v>439</v>
      </c>
      <c r="D47" s="94">
        <f>B47*C47</f>
        <v>3951</v>
      </c>
      <c r="E47" s="94">
        <v>1.073</v>
      </c>
      <c r="F47" s="94">
        <f>D47/E47</f>
        <v>3682.1994408201308</v>
      </c>
      <c r="O47" s="97" t="s">
        <v>5012</v>
      </c>
      <c r="P47" s="18">
        <v>6000000</v>
      </c>
      <c r="Q47" s="97">
        <v>8</v>
      </c>
      <c r="R47" s="97"/>
      <c r="S47" s="94"/>
      <c r="T47" s="94"/>
    </row>
    <row r="48" spans="1:22">
      <c r="A48" s="94"/>
      <c r="B48" s="94"/>
      <c r="E48" s="94"/>
      <c r="F48" s="94"/>
      <c r="O48" s="97" t="s">
        <v>5062</v>
      </c>
      <c r="P48" s="18">
        <v>-50000</v>
      </c>
      <c r="Q48" s="97">
        <v>3</v>
      </c>
      <c r="R48" s="97"/>
      <c r="S48" s="94"/>
      <c r="T48" s="94"/>
    </row>
    <row r="49" spans="1:20">
      <c r="A49" s="94"/>
      <c r="B49" s="94"/>
      <c r="E49" s="94"/>
      <c r="F49" s="94"/>
      <c r="N49" t="s">
        <v>25</v>
      </c>
      <c r="O49" s="97" t="s">
        <v>5065</v>
      </c>
      <c r="P49" s="18">
        <v>-20000</v>
      </c>
      <c r="Q49" s="97">
        <v>7</v>
      </c>
      <c r="R49" s="97"/>
      <c r="S49" s="94"/>
      <c r="T49" s="94"/>
    </row>
    <row r="50" spans="1:20">
      <c r="A50" s="94"/>
      <c r="B50" s="94"/>
      <c r="E50" s="94"/>
      <c r="F50" s="94"/>
      <c r="O50" s="97" t="s">
        <v>5024</v>
      </c>
      <c r="P50" s="18">
        <v>6000000</v>
      </c>
      <c r="Q50" s="97">
        <v>1</v>
      </c>
      <c r="R50" s="97"/>
      <c r="S50" s="94"/>
      <c r="T50" s="94"/>
    </row>
    <row r="51" spans="1:20">
      <c r="A51" s="94"/>
      <c r="B51" s="94"/>
      <c r="E51" s="94"/>
      <c r="F51" s="94"/>
      <c r="O51" s="97" t="s">
        <v>5082</v>
      </c>
      <c r="P51" s="18">
        <v>-2302282</v>
      </c>
      <c r="Q51" s="97">
        <v>6</v>
      </c>
      <c r="R51" s="97"/>
      <c r="S51" s="94"/>
      <c r="T51" s="94"/>
    </row>
    <row r="52" spans="1:20">
      <c r="A52" s="94" t="s">
        <v>5867</v>
      </c>
      <c r="B52" s="94"/>
      <c r="E52" s="94"/>
      <c r="F52" s="94"/>
      <c r="K52" t="s">
        <v>25</v>
      </c>
      <c r="O52" s="97" t="s">
        <v>5087</v>
      </c>
      <c r="P52" s="18">
        <v>100000</v>
      </c>
      <c r="Q52" s="97">
        <v>1</v>
      </c>
      <c r="R52" s="97"/>
      <c r="S52" s="94"/>
      <c r="T52" s="94"/>
    </row>
    <row r="53" spans="1:20">
      <c r="A53" s="94" t="s">
        <v>5859</v>
      </c>
      <c r="B53" s="94"/>
      <c r="E53" s="94"/>
      <c r="F53" s="94"/>
      <c r="O53" s="97" t="s">
        <v>5090</v>
      </c>
      <c r="P53" s="18">
        <v>-1727718</v>
      </c>
      <c r="Q53" s="97">
        <v>2</v>
      </c>
      <c r="R53" s="97"/>
      <c r="S53" s="94"/>
      <c r="T53" s="94"/>
    </row>
    <row r="54" spans="1:20">
      <c r="A54" s="94" t="s">
        <v>5860</v>
      </c>
      <c r="B54" s="94"/>
      <c r="E54" s="94"/>
      <c r="F54" s="94"/>
      <c r="M54" t="s">
        <v>25</v>
      </c>
      <c r="O54" s="97" t="s">
        <v>5094</v>
      </c>
      <c r="P54" s="18">
        <v>-1000000</v>
      </c>
      <c r="Q54" s="97">
        <v>0</v>
      </c>
      <c r="R54" s="97"/>
      <c r="S54" s="94"/>
      <c r="T54" s="94"/>
    </row>
    <row r="55" spans="1:20">
      <c r="A55" t="s">
        <v>5868</v>
      </c>
      <c r="B55" s="94"/>
      <c r="E55" s="94"/>
      <c r="F55" s="94"/>
      <c r="M55" t="s">
        <v>25</v>
      </c>
      <c r="O55" s="97" t="s">
        <v>5094</v>
      </c>
      <c r="P55" s="18">
        <v>-439200</v>
      </c>
      <c r="Q55" s="97">
        <v>1</v>
      </c>
      <c r="R55" s="97"/>
      <c r="S55" s="94"/>
      <c r="T55" s="94"/>
    </row>
    <row r="56" spans="1:20">
      <c r="A56" t="s">
        <v>5530</v>
      </c>
      <c r="B56" s="94"/>
      <c r="E56" s="94"/>
      <c r="F56" s="94"/>
      <c r="O56" s="97" t="s">
        <v>5097</v>
      </c>
      <c r="P56" s="18">
        <v>-3631879</v>
      </c>
      <c r="Q56" s="97">
        <v>3</v>
      </c>
      <c r="R56" s="97"/>
      <c r="S56" s="94"/>
      <c r="T56" s="94"/>
    </row>
    <row r="57" spans="1:20">
      <c r="A57" s="94" t="s">
        <v>4857</v>
      </c>
      <c r="B57" s="94"/>
      <c r="E57" s="94"/>
      <c r="F57" s="94"/>
      <c r="O57" s="97" t="s">
        <v>5122</v>
      </c>
      <c r="P57" s="18">
        <v>-2428921</v>
      </c>
      <c r="Q57" s="97">
        <v>9</v>
      </c>
      <c r="R57" s="97"/>
      <c r="S57" s="94"/>
      <c r="T57" s="94"/>
    </row>
    <row r="58" spans="1:20">
      <c r="A58" s="94" t="s">
        <v>4855</v>
      </c>
      <c r="B58" s="94"/>
      <c r="E58" s="94"/>
      <c r="F58" s="94"/>
      <c r="O58" s="97" t="s">
        <v>5141</v>
      </c>
      <c r="P58" s="18">
        <v>-500000</v>
      </c>
      <c r="Q58" s="97">
        <v>1</v>
      </c>
      <c r="R58" s="97"/>
      <c r="S58" s="94"/>
      <c r="T58" s="94"/>
    </row>
    <row r="59" spans="1:20">
      <c r="A59" s="94" t="s">
        <v>5862</v>
      </c>
      <c r="B59" s="94"/>
      <c r="C59" s="94" t="s">
        <v>25</v>
      </c>
      <c r="E59" s="94"/>
      <c r="F59" s="94"/>
      <c r="O59" s="97" t="s">
        <v>5142</v>
      </c>
      <c r="P59" s="18">
        <v>-2603</v>
      </c>
      <c r="Q59" s="97">
        <v>0</v>
      </c>
      <c r="R59" s="97" t="s">
        <v>5143</v>
      </c>
      <c r="S59" s="94"/>
      <c r="T59" s="94"/>
    </row>
    <row r="60" spans="1:20">
      <c r="A60" s="94" t="s">
        <v>5863</v>
      </c>
      <c r="B60" s="94"/>
      <c r="E60" s="94"/>
      <c r="F60" s="94"/>
      <c r="O60" s="97" t="s">
        <v>5142</v>
      </c>
      <c r="P60" s="18">
        <v>-250000</v>
      </c>
      <c r="Q60" s="97">
        <v>7</v>
      </c>
      <c r="R60" s="97"/>
      <c r="S60" s="94"/>
      <c r="T60" s="94"/>
    </row>
    <row r="61" spans="1:20">
      <c r="A61" t="s">
        <v>5879</v>
      </c>
      <c r="B61" s="94"/>
      <c r="E61" s="94"/>
      <c r="F61" s="94"/>
      <c r="O61" s="97" t="s">
        <v>4256</v>
      </c>
      <c r="P61" s="18">
        <v>185749</v>
      </c>
      <c r="Q61" s="97">
        <v>5</v>
      </c>
      <c r="R61" s="97"/>
      <c r="S61" s="94"/>
      <c r="T61" s="94"/>
    </row>
    <row r="62" spans="1:20">
      <c r="A62" t="s">
        <v>4484</v>
      </c>
      <c r="B62" s="94"/>
      <c r="E62" s="94"/>
      <c r="F62" s="94"/>
      <c r="O62" s="97" t="s">
        <v>5156</v>
      </c>
      <c r="P62" s="18">
        <v>300000</v>
      </c>
      <c r="Q62" s="97">
        <v>3</v>
      </c>
      <c r="R62" s="97"/>
      <c r="S62" s="94"/>
      <c r="T62" s="94"/>
    </row>
    <row r="63" spans="1:20">
      <c r="A63" s="94" t="s">
        <v>4511</v>
      </c>
      <c r="B63" s="94"/>
      <c r="E63" s="94"/>
      <c r="F63" s="94"/>
      <c r="O63" s="97" t="s">
        <v>5162</v>
      </c>
      <c r="P63" s="18">
        <v>-50000</v>
      </c>
      <c r="Q63" s="97">
        <v>3</v>
      </c>
      <c r="R63" s="97"/>
      <c r="S63" s="94"/>
      <c r="T63" s="94"/>
    </row>
    <row r="64" spans="1:20">
      <c r="A64" s="94"/>
      <c r="B64" s="94"/>
      <c r="C64" s="94" t="s">
        <v>25</v>
      </c>
      <c r="E64" s="94"/>
      <c r="F64" s="94"/>
      <c r="O64" s="97" t="s">
        <v>5167</v>
      </c>
      <c r="P64" s="18">
        <v>-1683146</v>
      </c>
      <c r="Q64" s="97">
        <v>10</v>
      </c>
      <c r="R64" s="97"/>
      <c r="S64" s="94"/>
      <c r="T64" s="94"/>
    </row>
    <row r="65" spans="1:21">
      <c r="B65" s="94"/>
      <c r="E65" s="94"/>
      <c r="F65" s="94"/>
      <c r="O65" s="97" t="s">
        <v>5179</v>
      </c>
      <c r="P65" s="18">
        <v>700000</v>
      </c>
      <c r="Q65" s="97">
        <v>18</v>
      </c>
      <c r="R65" s="97"/>
      <c r="S65" s="94"/>
      <c r="T65" s="94"/>
    </row>
    <row r="66" spans="1:21">
      <c r="A66" s="94" t="s">
        <v>5861</v>
      </c>
      <c r="B66" s="94"/>
      <c r="E66" s="94"/>
      <c r="F66" s="94"/>
      <c r="O66" s="97" t="s">
        <v>5192</v>
      </c>
      <c r="P66" s="18">
        <v>-700000</v>
      </c>
      <c r="Q66" s="97">
        <v>46</v>
      </c>
      <c r="R66" s="97"/>
    </row>
    <row r="67" spans="1:21">
      <c r="A67" s="94" t="s">
        <v>5291</v>
      </c>
      <c r="B67" s="94"/>
      <c r="E67" s="94"/>
      <c r="F67" s="94"/>
      <c r="O67" s="97" t="s">
        <v>5242</v>
      </c>
      <c r="P67" s="18">
        <v>1000000</v>
      </c>
      <c r="Q67" s="97">
        <v>4</v>
      </c>
      <c r="R67" s="97"/>
    </row>
    <row r="68" spans="1:21">
      <c r="A68" s="94" t="s">
        <v>5300</v>
      </c>
      <c r="B68" s="94"/>
      <c r="E68" s="94"/>
      <c r="F68" s="94"/>
      <c r="O68" s="97" t="s">
        <v>5246</v>
      </c>
      <c r="P68" s="18">
        <v>1500000</v>
      </c>
      <c r="Q68" s="97">
        <v>1</v>
      </c>
      <c r="R68" s="97"/>
    </row>
    <row r="69" spans="1:21">
      <c r="A69" s="94" t="s">
        <v>5872</v>
      </c>
      <c r="B69" s="94"/>
      <c r="E69" s="94"/>
      <c r="F69" s="94"/>
      <c r="O69" s="97" t="s">
        <v>5247</v>
      </c>
      <c r="P69" s="18">
        <v>-1500000</v>
      </c>
      <c r="Q69" s="97">
        <v>15</v>
      </c>
      <c r="R69" s="97"/>
    </row>
    <row r="70" spans="1:21">
      <c r="A70" s="94" t="s">
        <v>5305</v>
      </c>
      <c r="B70" s="94"/>
      <c r="E70" s="94"/>
      <c r="F70" s="94"/>
      <c r="O70" s="97" t="s">
        <v>5270</v>
      </c>
      <c r="P70" s="18">
        <v>-100000</v>
      </c>
      <c r="Q70" s="97">
        <v>5</v>
      </c>
      <c r="R70" s="97"/>
    </row>
    <row r="71" spans="1:21">
      <c r="A71" s="94" t="s">
        <v>5873</v>
      </c>
      <c r="B71" s="94"/>
      <c r="E71" s="94"/>
      <c r="F71" s="94"/>
      <c r="O71" s="97" t="s">
        <v>5274</v>
      </c>
      <c r="P71" s="18">
        <v>1164690</v>
      </c>
      <c r="Q71" s="97">
        <v>4</v>
      </c>
      <c r="R71" s="97"/>
      <c r="S71" t="s">
        <v>25</v>
      </c>
    </row>
    <row r="72" spans="1:21">
      <c r="A72" s="94" t="s">
        <v>5874</v>
      </c>
      <c r="B72" s="94"/>
      <c r="E72" s="94"/>
      <c r="F72" s="94"/>
      <c r="O72" s="97" t="s">
        <v>5283</v>
      </c>
      <c r="P72" s="18">
        <v>1000000</v>
      </c>
      <c r="Q72" s="97">
        <v>4</v>
      </c>
      <c r="R72" s="97"/>
    </row>
    <row r="73" spans="1:21">
      <c r="A73" s="94" t="s">
        <v>5875</v>
      </c>
      <c r="B73" s="94"/>
      <c r="E73" s="94"/>
      <c r="F73" s="94"/>
      <c r="N73" t="s">
        <v>25</v>
      </c>
      <c r="O73" s="97" t="s">
        <v>5288</v>
      </c>
      <c r="P73" s="18">
        <v>-264690</v>
      </c>
      <c r="Q73" s="97">
        <v>7</v>
      </c>
      <c r="R73" s="97"/>
    </row>
    <row r="74" spans="1:21">
      <c r="A74" s="94" t="s">
        <v>4486</v>
      </c>
      <c r="B74" s="94"/>
      <c r="E74" s="94"/>
      <c r="F74" s="94"/>
      <c r="O74" s="97" t="s">
        <v>5304</v>
      </c>
      <c r="P74" s="18">
        <v>2700000</v>
      </c>
      <c r="Q74" s="97">
        <v>0</v>
      </c>
      <c r="R74" s="97"/>
    </row>
    <row r="75" spans="1:21">
      <c r="A75" s="94" t="s">
        <v>4563</v>
      </c>
      <c r="B75" s="94" t="s">
        <v>25</v>
      </c>
      <c r="E75" s="94"/>
      <c r="F75" s="94"/>
      <c r="O75" s="97" t="s">
        <v>5304</v>
      </c>
      <c r="P75" s="18">
        <v>-1000000</v>
      </c>
      <c r="Q75" s="97">
        <v>1</v>
      </c>
      <c r="R75" s="97" t="s">
        <v>5306</v>
      </c>
    </row>
    <row r="76" spans="1:21">
      <c r="A76" s="94" t="s">
        <v>4728</v>
      </c>
      <c r="B76" s="94"/>
      <c r="E76" s="94"/>
      <c r="F76" s="94"/>
      <c r="O76" s="97" t="s">
        <v>5308</v>
      </c>
      <c r="P76" s="18">
        <v>-75616</v>
      </c>
      <c r="Q76" s="97">
        <v>2</v>
      </c>
      <c r="R76" s="97" t="s">
        <v>5309</v>
      </c>
    </row>
    <row r="77" spans="1:21">
      <c r="A77" s="94" t="s">
        <v>4669</v>
      </c>
      <c r="B77" s="94"/>
      <c r="E77" s="94"/>
      <c r="F77" s="94"/>
      <c r="O77" s="97" t="s">
        <v>963</v>
      </c>
      <c r="P77" s="18">
        <v>-2424384</v>
      </c>
      <c r="Q77" s="97">
        <v>2</v>
      </c>
      <c r="R77" s="97"/>
      <c r="U77" t="s">
        <v>25</v>
      </c>
    </row>
    <row r="78" spans="1:21">
      <c r="A78" s="94"/>
      <c r="B78" s="94"/>
      <c r="E78" s="94"/>
      <c r="F78" s="94"/>
      <c r="L78" s="112"/>
      <c r="M78" t="s">
        <v>25</v>
      </c>
      <c r="O78" s="97" t="s">
        <v>5323</v>
      </c>
      <c r="P78" s="18">
        <v>-2000000</v>
      </c>
      <c r="Q78" s="97">
        <v>6</v>
      </c>
      <c r="R78" s="97"/>
    </row>
    <row r="79" spans="1:21">
      <c r="A79" s="94"/>
      <c r="B79" s="94"/>
      <c r="E79" s="94"/>
      <c r="F79" s="94"/>
      <c r="O79" s="97" t="s">
        <v>5360</v>
      </c>
      <c r="P79" s="18">
        <v>2500000</v>
      </c>
      <c r="Q79" s="97">
        <v>1</v>
      </c>
      <c r="R79" s="97"/>
    </row>
    <row r="80" spans="1:21">
      <c r="B80" s="94"/>
      <c r="E80" s="94"/>
      <c r="F80" s="94"/>
      <c r="O80" s="97" t="s">
        <v>5363</v>
      </c>
      <c r="P80" s="18">
        <v>3000000</v>
      </c>
      <c r="Q80" s="97">
        <v>3</v>
      </c>
      <c r="R80" s="97"/>
    </row>
    <row r="81" spans="1:26">
      <c r="A81" s="94" t="s">
        <v>5866</v>
      </c>
      <c r="E81" s="94"/>
      <c r="F81" s="94"/>
      <c r="O81" s="97" t="s">
        <v>5369</v>
      </c>
      <c r="P81" s="18">
        <v>-300000</v>
      </c>
      <c r="Q81" s="97">
        <v>5</v>
      </c>
      <c r="R81" s="97"/>
    </row>
    <row r="82" spans="1:26">
      <c r="A82" s="94" t="s">
        <v>5864</v>
      </c>
      <c r="E82" s="94"/>
      <c r="F82" s="94"/>
      <c r="O82" s="97" t="s">
        <v>5380</v>
      </c>
      <c r="P82" s="18">
        <v>500000</v>
      </c>
      <c r="Q82" s="97">
        <v>1</v>
      </c>
      <c r="R82" s="97"/>
    </row>
    <row r="83" spans="1:26">
      <c r="A83" s="94" t="s">
        <v>5865</v>
      </c>
      <c r="E83" s="94"/>
      <c r="F83" s="94"/>
      <c r="O83" s="97" t="s">
        <v>5382</v>
      </c>
      <c r="P83" s="18">
        <v>1000000</v>
      </c>
      <c r="Q83" s="97">
        <v>5</v>
      </c>
      <c r="R83" s="97"/>
    </row>
    <row r="84" spans="1:26">
      <c r="A84" s="94" t="s">
        <v>5876</v>
      </c>
      <c r="E84" s="94"/>
      <c r="F84" s="94"/>
      <c r="O84" s="97" t="s">
        <v>5387</v>
      </c>
      <c r="P84" s="18">
        <v>-2700000</v>
      </c>
      <c r="Q84" s="97">
        <v>1</v>
      </c>
      <c r="R84" s="97"/>
    </row>
    <row r="85" spans="1:26">
      <c r="A85" s="94" t="s">
        <v>5877</v>
      </c>
      <c r="E85" s="94"/>
      <c r="F85" s="94"/>
      <c r="M85" t="s">
        <v>25</v>
      </c>
      <c r="O85" s="97" t="s">
        <v>5388</v>
      </c>
      <c r="P85" s="18">
        <v>-3600000</v>
      </c>
      <c r="Q85" s="97">
        <v>1</v>
      </c>
      <c r="R85" s="97"/>
    </row>
    <row r="86" spans="1:26">
      <c r="A86" s="94" t="s">
        <v>5878</v>
      </c>
      <c r="O86" s="97" t="s">
        <v>987</v>
      </c>
      <c r="P86" s="18">
        <v>-400000</v>
      </c>
      <c r="Q86" s="97">
        <v>17</v>
      </c>
      <c r="R86" s="97"/>
    </row>
    <row r="87" spans="1:26">
      <c r="A87" s="94"/>
      <c r="O87" s="97" t="s">
        <v>5408</v>
      </c>
      <c r="P87" s="18">
        <v>1000000</v>
      </c>
      <c r="Q87" s="97">
        <v>20</v>
      </c>
      <c r="R87" s="97"/>
    </row>
    <row r="88" spans="1:26">
      <c r="A88" s="94" t="s">
        <v>5869</v>
      </c>
      <c r="O88" s="97" t="s">
        <v>5428</v>
      </c>
      <c r="P88" s="18">
        <v>-1000000</v>
      </c>
      <c r="Q88" s="97">
        <v>25</v>
      </c>
      <c r="R88" s="97"/>
    </row>
    <row r="89" spans="1:26">
      <c r="A89" t="s">
        <v>5870</v>
      </c>
      <c r="O89" s="97" t="s">
        <v>5459</v>
      </c>
      <c r="P89" s="18">
        <v>300000</v>
      </c>
      <c r="Q89" s="97">
        <v>3</v>
      </c>
      <c r="R89" s="97"/>
    </row>
    <row r="90" spans="1:26">
      <c r="A90" s="94" t="s">
        <v>5871</v>
      </c>
      <c r="O90" s="97" t="s">
        <v>5464</v>
      </c>
      <c r="P90" s="18">
        <v>-300000</v>
      </c>
      <c r="Q90" s="97">
        <v>9</v>
      </c>
      <c r="R90" s="97"/>
    </row>
    <row r="91" spans="1:26">
      <c r="A91" s="94"/>
      <c r="O91" s="97" t="s">
        <v>5483</v>
      </c>
      <c r="P91" s="18">
        <v>1000000</v>
      </c>
      <c r="Q91" s="97">
        <v>24</v>
      </c>
      <c r="R91" s="97"/>
      <c r="U91" t="s">
        <v>25</v>
      </c>
    </row>
    <row r="92" spans="1:26">
      <c r="M92" t="s">
        <v>25</v>
      </c>
      <c r="O92" s="97" t="s">
        <v>5525</v>
      </c>
      <c r="P92" s="18">
        <v>-1380100</v>
      </c>
      <c r="Q92" s="97">
        <v>11</v>
      </c>
      <c r="R92" s="97"/>
    </row>
    <row r="93" spans="1:26">
      <c r="A93" s="94"/>
      <c r="O93" s="97" t="s">
        <v>5539</v>
      </c>
      <c r="P93" s="18">
        <v>1280015</v>
      </c>
      <c r="Q93" s="97">
        <v>0</v>
      </c>
      <c r="R93" s="97"/>
    </row>
    <row r="94" spans="1:26">
      <c r="A94" s="94"/>
      <c r="O94" s="97" t="s">
        <v>5539</v>
      </c>
      <c r="P94" s="18">
        <v>300000</v>
      </c>
      <c r="Q94" s="97">
        <v>7</v>
      </c>
      <c r="R94" s="97"/>
    </row>
    <row r="95" spans="1:26">
      <c r="O95" s="97" t="s">
        <v>5546</v>
      </c>
      <c r="P95" s="18">
        <v>3000000</v>
      </c>
      <c r="Q95" s="97">
        <v>3</v>
      </c>
      <c r="R95" s="97"/>
      <c r="Z95" t="s">
        <v>25</v>
      </c>
    </row>
    <row r="96" spans="1:26">
      <c r="A96" s="94"/>
      <c r="O96" s="97" t="s">
        <v>5565</v>
      </c>
      <c r="P96" s="18">
        <v>300000</v>
      </c>
      <c r="Q96" s="97">
        <v>8</v>
      </c>
      <c r="R96" s="97"/>
    </row>
    <row r="97" spans="1:23">
      <c r="A97" s="94"/>
      <c r="O97" s="97" t="s">
        <v>5586</v>
      </c>
      <c r="P97" s="18">
        <v>-3500000</v>
      </c>
      <c r="Q97" s="97">
        <v>6</v>
      </c>
      <c r="R97" s="97"/>
    </row>
    <row r="98" spans="1:23">
      <c r="O98" s="97" t="s">
        <v>5591</v>
      </c>
      <c r="P98" s="18">
        <v>-70000</v>
      </c>
      <c r="Q98" s="97">
        <v>1</v>
      </c>
      <c r="R98" s="97"/>
    </row>
    <row r="99" spans="1:23">
      <c r="O99" s="97" t="s">
        <v>5595</v>
      </c>
      <c r="P99" s="18">
        <v>70085</v>
      </c>
      <c r="Q99" s="97">
        <v>7</v>
      </c>
      <c r="R99" s="97" t="s">
        <v>5596</v>
      </c>
    </row>
    <row r="100" spans="1:23">
      <c r="O100" s="97" t="s">
        <v>5602</v>
      </c>
      <c r="P100" s="18">
        <v>-1000000</v>
      </c>
      <c r="Q100" s="97">
        <v>31</v>
      </c>
      <c r="R100" s="97"/>
    </row>
    <row r="101" spans="1:23">
      <c r="O101" s="97" t="s">
        <v>5631</v>
      </c>
      <c r="P101" s="18">
        <v>6000000</v>
      </c>
      <c r="Q101" s="97">
        <v>1</v>
      </c>
      <c r="R101" s="97"/>
      <c r="S101" t="s">
        <v>25</v>
      </c>
    </row>
    <row r="102" spans="1:23">
      <c r="O102" s="97" t="s">
        <v>5632</v>
      </c>
      <c r="P102" s="18">
        <v>6000000</v>
      </c>
      <c r="Q102" s="97">
        <v>11</v>
      </c>
      <c r="R102" s="97"/>
    </row>
    <row r="103" spans="1:23">
      <c r="O103" s="97" t="s">
        <v>5647</v>
      </c>
      <c r="P103" s="18">
        <v>48000000</v>
      </c>
      <c r="Q103" s="97">
        <v>8</v>
      </c>
      <c r="R103" s="97"/>
    </row>
    <row r="104" spans="1:23">
      <c r="O104" s="97" t="s">
        <v>5664</v>
      </c>
      <c r="P104" s="18">
        <v>-400000</v>
      </c>
      <c r="Q104" s="97">
        <v>23</v>
      </c>
      <c r="R104" s="97"/>
    </row>
    <row r="105" spans="1:23">
      <c r="O105" s="97" t="s">
        <v>5701</v>
      </c>
      <c r="P105" s="18">
        <v>500000</v>
      </c>
      <c r="Q105" s="97">
        <v>4</v>
      </c>
      <c r="R105" s="97"/>
    </row>
    <row r="106" spans="1:23">
      <c r="O106" s="97" t="s">
        <v>5705</v>
      </c>
      <c r="P106" s="18">
        <v>-500000</v>
      </c>
      <c r="Q106" s="97">
        <v>48</v>
      </c>
      <c r="R106" s="97"/>
      <c r="T106" t="s">
        <v>25</v>
      </c>
    </row>
    <row r="107" spans="1:23">
      <c r="O107" s="97" t="s">
        <v>5768</v>
      </c>
      <c r="P107" s="18">
        <v>2000000</v>
      </c>
      <c r="Q107" s="97">
        <v>11</v>
      </c>
      <c r="R107" s="97"/>
    </row>
    <row r="108" spans="1:23">
      <c r="O108" s="97" t="s">
        <v>5783</v>
      </c>
      <c r="P108" s="18">
        <v>-2000000</v>
      </c>
      <c r="Q108" s="97">
        <v>1</v>
      </c>
      <c r="R108" s="97"/>
      <c r="T108" t="s">
        <v>25</v>
      </c>
    </row>
    <row r="109" spans="1:23">
      <c r="O109" s="97" t="s">
        <v>5785</v>
      </c>
      <c r="P109" s="18">
        <v>-42203</v>
      </c>
      <c r="Q109" s="97">
        <v>2</v>
      </c>
      <c r="R109" s="97" t="s">
        <v>5791</v>
      </c>
    </row>
    <row r="110" spans="1:23">
      <c r="M110" t="s">
        <v>25</v>
      </c>
      <c r="O110" s="97" t="s">
        <v>5795</v>
      </c>
      <c r="P110" s="18">
        <v>-365000</v>
      </c>
      <c r="Q110" s="97">
        <v>5</v>
      </c>
      <c r="R110" s="97" t="s">
        <v>5796</v>
      </c>
    </row>
    <row r="111" spans="1:23">
      <c r="O111" s="97" t="s">
        <v>5802</v>
      </c>
      <c r="P111" s="18">
        <v>12000000</v>
      </c>
      <c r="Q111" s="97">
        <v>9</v>
      </c>
      <c r="R111" s="97" t="s">
        <v>5803</v>
      </c>
      <c r="W111" t="s">
        <v>25</v>
      </c>
    </row>
    <row r="112" spans="1:23">
      <c r="O112" s="97" t="s">
        <v>5816</v>
      </c>
      <c r="P112" s="18">
        <v>-4000000</v>
      </c>
      <c r="Q112" s="97">
        <v>3</v>
      </c>
      <c r="R112" s="97"/>
    </row>
    <row r="113" spans="1:21">
      <c r="O113" s="97" t="s">
        <v>5821</v>
      </c>
      <c r="P113" s="18">
        <v>-5000000</v>
      </c>
      <c r="Q113" s="97" t="s">
        <v>25</v>
      </c>
      <c r="R113" s="97"/>
    </row>
    <row r="114" spans="1:21">
      <c r="O114" s="97" t="s">
        <v>5819</v>
      </c>
      <c r="P114" s="18">
        <v>-2500000</v>
      </c>
      <c r="Q114" s="97">
        <v>1</v>
      </c>
      <c r="R114" s="97"/>
    </row>
    <row r="115" spans="1:21">
      <c r="O115" s="97" t="s">
        <v>5820</v>
      </c>
      <c r="P115" s="18">
        <v>-500000</v>
      </c>
      <c r="Q115" s="97">
        <v>17</v>
      </c>
      <c r="R115" s="97"/>
    </row>
    <row r="116" spans="1:21">
      <c r="A116" s="332" t="s">
        <v>180</v>
      </c>
      <c r="B116" s="333" t="s">
        <v>5954</v>
      </c>
      <c r="C116" s="32" t="s">
        <v>5955</v>
      </c>
      <c r="D116" s="32" t="s">
        <v>5956</v>
      </c>
      <c r="E116" s="32" t="s">
        <v>5957</v>
      </c>
      <c r="F116" s="32" t="s">
        <v>5958</v>
      </c>
      <c r="G116" s="32" t="s">
        <v>5339</v>
      </c>
      <c r="H116" s="32" t="s">
        <v>5959</v>
      </c>
      <c r="I116" s="290" t="s">
        <v>5960</v>
      </c>
      <c r="N116" t="s">
        <v>25</v>
      </c>
      <c r="O116" s="97" t="s">
        <v>5822</v>
      </c>
      <c r="P116" s="18">
        <v>-192797</v>
      </c>
      <c r="Q116" s="97">
        <v>15</v>
      </c>
      <c r="R116" s="97"/>
    </row>
    <row r="117" spans="1:21">
      <c r="A117" s="332" t="s">
        <v>4223</v>
      </c>
      <c r="B117" s="334">
        <v>70000000</v>
      </c>
      <c r="C117" s="335">
        <v>4400000</v>
      </c>
      <c r="D117" s="336">
        <f>B117/C117</f>
        <v>15.909090909090908</v>
      </c>
      <c r="E117" s="18">
        <v>190</v>
      </c>
      <c r="F117" s="32">
        <f>B117/E117</f>
        <v>368421.05263157893</v>
      </c>
      <c r="G117" s="32"/>
      <c r="H117" s="32"/>
      <c r="I117" s="210"/>
      <c r="O117" s="97" t="s">
        <v>5827</v>
      </c>
      <c r="P117" s="18">
        <v>2000000</v>
      </c>
      <c r="Q117" s="97">
        <v>12</v>
      </c>
      <c r="R117" s="97"/>
    </row>
    <row r="118" spans="1:21">
      <c r="A118" s="332" t="s">
        <v>4753</v>
      </c>
      <c r="B118" s="18"/>
      <c r="C118" s="18"/>
      <c r="D118" s="18"/>
      <c r="E118" s="18"/>
      <c r="F118" s="32">
        <f>F117+I118</f>
        <v>419590.64327485382</v>
      </c>
      <c r="G118" s="32">
        <v>25</v>
      </c>
      <c r="H118" s="32">
        <v>180</v>
      </c>
      <c r="I118" s="338">
        <f>G118*F117/H118</f>
        <v>51169.59064327486</v>
      </c>
      <c r="O118" s="97" t="s">
        <v>5835</v>
      </c>
      <c r="P118" s="18">
        <v>-2000000</v>
      </c>
      <c r="Q118" s="97">
        <v>0</v>
      </c>
      <c r="R118" s="97"/>
    </row>
    <row r="119" spans="1:21">
      <c r="A119" s="332" t="s">
        <v>5448</v>
      </c>
      <c r="B119" s="18"/>
      <c r="C119" s="18"/>
      <c r="D119" s="18"/>
      <c r="E119" s="18"/>
      <c r="F119" s="32">
        <f>F118+I119</f>
        <v>441232.68698060943</v>
      </c>
      <c r="G119" s="32">
        <v>49</v>
      </c>
      <c r="H119" s="32">
        <v>950</v>
      </c>
      <c r="I119" s="338">
        <f>F118*G119/H119</f>
        <v>21642.043705755616</v>
      </c>
      <c r="O119" s="97" t="s">
        <v>5835</v>
      </c>
      <c r="P119" s="18">
        <v>-4000000</v>
      </c>
      <c r="Q119" s="97">
        <v>1</v>
      </c>
      <c r="R119" s="97"/>
    </row>
    <row r="120" spans="1:21">
      <c r="A120" s="332" t="s">
        <v>5927</v>
      </c>
      <c r="B120" s="18"/>
      <c r="C120" s="18"/>
      <c r="D120" s="18"/>
      <c r="E120" s="18"/>
      <c r="F120" s="32">
        <f>F119+I120</f>
        <v>473322.33694283559</v>
      </c>
      <c r="G120" s="32">
        <v>80</v>
      </c>
      <c r="H120" s="32">
        <v>1100</v>
      </c>
      <c r="I120" s="338">
        <f>F119*G120/H120</f>
        <v>32089.64996222614</v>
      </c>
      <c r="O120" s="97" t="s">
        <v>5837</v>
      </c>
      <c r="P120" s="18">
        <v>-3000000</v>
      </c>
      <c r="Q120" s="97">
        <v>3</v>
      </c>
      <c r="R120" s="97"/>
    </row>
    <row r="121" spans="1:21">
      <c r="A121" s="9"/>
      <c r="B121" s="18"/>
      <c r="O121" s="97" t="s">
        <v>5845</v>
      </c>
      <c r="P121" s="18">
        <v>-6000000</v>
      </c>
      <c r="Q121" s="97">
        <v>1</v>
      </c>
      <c r="R121" s="97"/>
    </row>
    <row r="122" spans="1:21">
      <c r="A122" s="332"/>
      <c r="B122" s="334" t="s">
        <v>5961</v>
      </c>
      <c r="C122" s="18"/>
      <c r="D122" s="18" t="s">
        <v>5962</v>
      </c>
      <c r="E122" s="18"/>
      <c r="F122" s="18" t="s">
        <v>5963</v>
      </c>
      <c r="G122" s="32"/>
      <c r="H122" s="32"/>
      <c r="I122" s="210"/>
      <c r="O122" s="97" t="s">
        <v>5849</v>
      </c>
      <c r="P122" s="18">
        <v>-10000000</v>
      </c>
      <c r="Q122" s="97">
        <v>0</v>
      </c>
      <c r="R122" s="97"/>
    </row>
    <row r="123" spans="1:21">
      <c r="A123" s="332" t="s">
        <v>5953</v>
      </c>
      <c r="B123" s="334">
        <v>260000000</v>
      </c>
      <c r="C123" s="18"/>
      <c r="D123" s="335">
        <f>10440000*D117</f>
        <v>166090909.09090909</v>
      </c>
      <c r="E123" s="18"/>
      <c r="F123" s="337">
        <f>1066*F120</f>
        <v>504561611.18106276</v>
      </c>
      <c r="G123" s="32"/>
      <c r="H123" s="32"/>
      <c r="I123" s="210"/>
      <c r="O123" s="97" t="s">
        <v>5849</v>
      </c>
      <c r="P123" s="18">
        <v>-5500000</v>
      </c>
      <c r="Q123" s="97">
        <v>1</v>
      </c>
      <c r="R123" s="97"/>
    </row>
    <row r="124" spans="1:21">
      <c r="A124" s="94"/>
      <c r="B124" s="94"/>
      <c r="E124" s="94"/>
      <c r="F124" s="94"/>
      <c r="G124" s="94"/>
      <c r="H124" s="94"/>
      <c r="I124" s="94"/>
      <c r="J124" s="94"/>
      <c r="O124" s="97" t="s">
        <v>5850</v>
      </c>
      <c r="P124" s="18">
        <v>-1500000</v>
      </c>
      <c r="Q124" s="97">
        <v>9</v>
      </c>
      <c r="R124" s="97"/>
    </row>
    <row r="125" spans="1:21">
      <c r="A125" s="94"/>
      <c r="B125" s="94"/>
      <c r="E125" s="94"/>
      <c r="F125" s="94"/>
      <c r="G125" s="94"/>
      <c r="H125" s="94"/>
      <c r="I125" s="94" t="s">
        <v>25</v>
      </c>
      <c r="J125" s="94"/>
      <c r="O125" s="97" t="s">
        <v>5880</v>
      </c>
      <c r="P125" s="18">
        <v>-22545000</v>
      </c>
      <c r="Q125" s="97">
        <v>18</v>
      </c>
      <c r="R125" s="97" t="s">
        <v>5885</v>
      </c>
    </row>
    <row r="126" spans="1:21">
      <c r="A126" s="94"/>
      <c r="B126" s="94"/>
      <c r="E126" s="94"/>
      <c r="F126" s="94"/>
      <c r="G126" s="94"/>
      <c r="H126" s="94"/>
      <c r="I126" s="94"/>
      <c r="J126" s="94"/>
      <c r="O126" s="97" t="s">
        <v>5899</v>
      </c>
      <c r="P126" s="18">
        <v>5000000</v>
      </c>
      <c r="Q126" s="97">
        <v>9</v>
      </c>
      <c r="R126" s="97"/>
    </row>
    <row r="127" spans="1:21">
      <c r="A127" s="94"/>
      <c r="B127" s="94"/>
      <c r="E127" s="94"/>
      <c r="F127" s="94"/>
      <c r="G127" s="94"/>
      <c r="H127" s="94"/>
      <c r="I127" s="94"/>
      <c r="J127" s="94"/>
      <c r="O127" s="97" t="s">
        <v>5927</v>
      </c>
      <c r="P127" s="18">
        <v>3000000</v>
      </c>
      <c r="Q127" s="97">
        <v>0</v>
      </c>
      <c r="R127" s="97"/>
      <c r="U127" t="s">
        <v>25</v>
      </c>
    </row>
    <row r="128" spans="1:21">
      <c r="A128" s="94"/>
      <c r="B128" s="94"/>
      <c r="D128" s="94" t="s">
        <v>25</v>
      </c>
      <c r="E128" s="94"/>
      <c r="F128" s="94"/>
      <c r="G128" s="94"/>
      <c r="H128" s="94"/>
      <c r="I128" s="94"/>
      <c r="J128" s="94"/>
      <c r="O128" s="97" t="s">
        <v>5927</v>
      </c>
      <c r="P128" s="18">
        <v>-3000000</v>
      </c>
      <c r="Q128" s="97">
        <v>1</v>
      </c>
      <c r="R128" s="97"/>
    </row>
    <row r="129" spans="1:18">
      <c r="A129" s="94"/>
      <c r="B129" s="94"/>
      <c r="E129" s="94"/>
      <c r="F129" s="94"/>
      <c r="G129" s="94"/>
      <c r="H129" s="94"/>
      <c r="I129" s="94"/>
      <c r="J129" s="94"/>
      <c r="O129" s="97" t="s">
        <v>5928</v>
      </c>
      <c r="P129" s="18">
        <v>-11455000</v>
      </c>
      <c r="Q129" s="97">
        <v>1</v>
      </c>
      <c r="R129" s="97"/>
    </row>
    <row r="130" spans="1:18">
      <c r="A130" s="94"/>
      <c r="B130" s="94"/>
      <c r="E130" s="94"/>
      <c r="F130" s="94" t="s">
        <v>25</v>
      </c>
      <c r="G130" s="94"/>
      <c r="H130" s="94"/>
      <c r="I130" s="94"/>
      <c r="J130" s="94"/>
      <c r="O130" s="97"/>
      <c r="P130" s="18"/>
      <c r="Q130" s="97"/>
      <c r="R130" s="97"/>
    </row>
    <row r="131" spans="1:18">
      <c r="A131" s="94"/>
      <c r="B131" s="94"/>
      <c r="E131" s="94"/>
      <c r="F131" s="94"/>
      <c r="G131" s="94"/>
      <c r="H131" s="94"/>
      <c r="I131" s="94"/>
      <c r="J131" s="94"/>
      <c r="O131" s="97"/>
      <c r="P131" s="18"/>
      <c r="Q131" s="97"/>
      <c r="R131" s="97"/>
    </row>
    <row r="132" spans="1:18">
      <c r="A132" s="94"/>
      <c r="B132" s="94"/>
      <c r="E132" s="94"/>
      <c r="F132" s="94"/>
      <c r="G132" s="94"/>
      <c r="H132" s="94"/>
      <c r="I132" s="94"/>
      <c r="J132" s="94"/>
      <c r="O132" s="97"/>
      <c r="P132" s="18"/>
      <c r="Q132" s="97"/>
      <c r="R132" s="97"/>
    </row>
    <row r="133" spans="1:18">
      <c r="A133" s="94"/>
      <c r="B133" s="94"/>
      <c r="E133" s="94"/>
      <c r="F133" s="94"/>
      <c r="G133" s="94"/>
      <c r="H133" s="94"/>
      <c r="I133" s="94"/>
      <c r="J133" s="94"/>
      <c r="O133" s="97"/>
      <c r="P133" s="18"/>
      <c r="Q133" s="97"/>
      <c r="R133" s="97"/>
    </row>
    <row r="134" spans="1:18">
      <c r="A134" s="94"/>
      <c r="B134" s="94"/>
      <c r="E134" s="94"/>
      <c r="F134" s="94"/>
      <c r="G134" s="94"/>
      <c r="H134" s="94"/>
      <c r="I134" s="94"/>
      <c r="J134" s="94"/>
      <c r="O134" s="97"/>
      <c r="P134" s="18">
        <f>SUM(P28:P133)</f>
        <v>0</v>
      </c>
      <c r="Q134" s="97"/>
      <c r="R134" s="97"/>
    </row>
    <row r="135" spans="1:18">
      <c r="A135" s="94"/>
      <c r="B135" s="94"/>
      <c r="E135" s="94"/>
      <c r="F135" s="94"/>
      <c r="G135" s="94"/>
      <c r="H135" s="94"/>
      <c r="I135" s="94"/>
      <c r="J135" s="94"/>
      <c r="P135" t="s">
        <v>4923</v>
      </c>
    </row>
    <row r="137" spans="1:18">
      <c r="O137" t="s">
        <v>25</v>
      </c>
    </row>
    <row r="139" spans="1:18">
      <c r="Q139" t="s">
        <v>25</v>
      </c>
      <c r="R139" t="s">
        <v>25</v>
      </c>
    </row>
    <row r="140" spans="1:18">
      <c r="O140" t="s">
        <v>25</v>
      </c>
      <c r="R140" t="s">
        <v>25</v>
      </c>
    </row>
    <row r="141" spans="1:18">
      <c r="P141" t="s">
        <v>25</v>
      </c>
      <c r="R141" t="s">
        <v>25</v>
      </c>
    </row>
    <row r="142" spans="1:18">
      <c r="R142" t="s">
        <v>25</v>
      </c>
    </row>
    <row r="143" spans="1:18">
      <c r="O143" t="s">
        <v>25</v>
      </c>
    </row>
    <row r="145" spans="18:18">
      <c r="R145" t="s">
        <v>25</v>
      </c>
    </row>
  </sheetData>
  <pageMargins left="0.7" right="0.7" top="0.75" bottom="0.75" header="0.3" footer="0.3"/>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4488</v>
      </c>
      <c r="B1" t="s">
        <v>935</v>
      </c>
      <c r="C1" t="s">
        <v>4540</v>
      </c>
      <c r="D1" t="s">
        <v>4825</v>
      </c>
      <c r="E1" t="s">
        <v>4826</v>
      </c>
      <c r="F1" t="s">
        <v>8</v>
      </c>
    </row>
    <row r="2" spans="1:6">
      <c r="A2" t="s">
        <v>4829</v>
      </c>
      <c r="B2">
        <v>237</v>
      </c>
      <c r="C2">
        <v>281</v>
      </c>
      <c r="D2">
        <f>B2/C2</f>
        <v>0.84341637010676151</v>
      </c>
      <c r="E2" t="s">
        <v>4830</v>
      </c>
      <c r="F2" t="s">
        <v>4831</v>
      </c>
    </row>
    <row r="3" spans="1:6">
      <c r="A3" t="s">
        <v>4486</v>
      </c>
      <c r="B3">
        <v>134</v>
      </c>
      <c r="C3">
        <v>193</v>
      </c>
      <c r="D3" s="94">
        <f t="shared" ref="D3:D21" si="0">B3/C3</f>
        <v>0.69430051813471505</v>
      </c>
      <c r="E3" t="s">
        <v>4830</v>
      </c>
      <c r="F3" s="94" t="s">
        <v>4831</v>
      </c>
    </row>
    <row r="4" spans="1:6">
      <c r="A4" t="s">
        <v>4832</v>
      </c>
      <c r="B4">
        <v>195</v>
      </c>
      <c r="C4">
        <v>73</v>
      </c>
      <c r="D4" s="94">
        <f t="shared" si="0"/>
        <v>2.6712328767123288</v>
      </c>
      <c r="E4" t="s">
        <v>4833</v>
      </c>
      <c r="F4" t="s">
        <v>4834</v>
      </c>
    </row>
    <row r="5" spans="1:6">
      <c r="A5" t="s">
        <v>4835</v>
      </c>
      <c r="B5">
        <v>1</v>
      </c>
      <c r="C5">
        <v>1</v>
      </c>
      <c r="D5" s="94">
        <f t="shared" si="0"/>
        <v>1</v>
      </c>
      <c r="E5" t="s">
        <v>4833</v>
      </c>
      <c r="F5" t="s">
        <v>4836</v>
      </c>
    </row>
    <row r="6" spans="1:6">
      <c r="A6" t="s">
        <v>4525</v>
      </c>
      <c r="B6">
        <v>163</v>
      </c>
      <c r="C6">
        <v>232</v>
      </c>
      <c r="D6" s="94">
        <f t="shared" si="0"/>
        <v>0.70258620689655171</v>
      </c>
      <c r="F6" s="94" t="s">
        <v>4831</v>
      </c>
    </row>
    <row r="7" spans="1:6">
      <c r="A7" t="s">
        <v>4837</v>
      </c>
      <c r="B7">
        <v>247</v>
      </c>
      <c r="C7">
        <v>250</v>
      </c>
      <c r="D7" s="94">
        <f t="shared" si="0"/>
        <v>0.98799999999999999</v>
      </c>
    </row>
    <row r="8" spans="1:6">
      <c r="A8" t="s">
        <v>4838</v>
      </c>
      <c r="B8">
        <v>335</v>
      </c>
      <c r="C8">
        <v>141</v>
      </c>
      <c r="D8" s="94">
        <f t="shared" si="0"/>
        <v>2.375886524822695</v>
      </c>
      <c r="F8" s="94" t="s">
        <v>4836</v>
      </c>
    </row>
    <row r="9" spans="1:6">
      <c r="A9" t="s">
        <v>4729</v>
      </c>
      <c r="B9">
        <v>150</v>
      </c>
      <c r="C9">
        <v>240</v>
      </c>
      <c r="D9" s="94">
        <f t="shared" si="0"/>
        <v>0.625</v>
      </c>
      <c r="F9" t="s">
        <v>4839</v>
      </c>
    </row>
    <row r="10" spans="1:6">
      <c r="A10" t="s">
        <v>4840</v>
      </c>
      <c r="B10">
        <v>187</v>
      </c>
      <c r="C10">
        <v>208</v>
      </c>
      <c r="D10" s="94">
        <f t="shared" si="0"/>
        <v>0.89903846153846156</v>
      </c>
      <c r="F10" t="s">
        <v>4830</v>
      </c>
    </row>
    <row r="11" spans="1:6">
      <c r="A11" t="s">
        <v>4841</v>
      </c>
      <c r="B11">
        <v>412</v>
      </c>
      <c r="C11">
        <v>183</v>
      </c>
      <c r="D11" s="94">
        <f t="shared" si="0"/>
        <v>2.2513661202185791</v>
      </c>
      <c r="F11" s="94" t="s">
        <v>4836</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4824</v>
      </c>
      <c r="B21">
        <v>113</v>
      </c>
      <c r="C21">
        <v>215</v>
      </c>
      <c r="D21" s="94">
        <f t="shared" si="0"/>
        <v>0.52558139534883719</v>
      </c>
      <c r="E21" t="s">
        <v>4827</v>
      </c>
      <c r="F21" t="s">
        <v>4828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4775</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4777</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4774</v>
      </c>
      <c r="B4" s="18">
        <v>-960200</v>
      </c>
      <c r="C4" s="18">
        <v>0</v>
      </c>
      <c r="D4" s="111">
        <f t="shared" si="0"/>
        <v>-960200</v>
      </c>
      <c r="E4" s="97" t="s">
        <v>4778</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4692</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4692</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4692</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4700</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4700</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4700</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4704</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4705</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4705</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4710</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4710</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4747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4758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4767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4767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4767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4779</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4776</v>
      </c>
      <c r="F42" s="94"/>
      <c r="G42" s="94"/>
      <c r="H42" s="94"/>
      <c r="I42" s="94"/>
      <c r="J42" s="94"/>
      <c r="K42" s="94"/>
      <c r="L42" s="94"/>
      <c r="M42" s="94"/>
      <c r="N42" s="94"/>
      <c r="O42" s="94"/>
      <c r="P42" s="94"/>
      <c r="Q42" s="94"/>
      <c r="R42" s="94"/>
      <c r="S42" s="94"/>
      <c r="T42" s="94"/>
      <c r="U42" s="94"/>
    </row>
    <row r="43" spans="1:21">
      <c r="A43" s="94"/>
      <c r="B43" s="94"/>
      <c r="C43" s="94"/>
      <c r="D43" s="18">
        <v>252830</v>
      </c>
      <c r="E43" s="120" t="s">
        <v>4781</v>
      </c>
      <c r="F43" s="94"/>
      <c r="G43" s="94"/>
      <c r="H43" s="94"/>
      <c r="I43" s="94"/>
      <c r="J43" s="94"/>
      <c r="K43" s="94"/>
      <c r="L43" s="94"/>
      <c r="M43" s="94"/>
      <c r="N43" s="94"/>
      <c r="O43" s="94"/>
      <c r="P43" s="94"/>
      <c r="Q43" s="94"/>
      <c r="R43" s="94"/>
      <c r="S43" s="94"/>
      <c r="T43" s="94"/>
      <c r="U43" s="94"/>
    </row>
    <row r="44" spans="1:21">
      <c r="A44" s="94"/>
      <c r="B44" s="94"/>
      <c r="C44" s="94"/>
      <c r="D44" s="18">
        <v>178820</v>
      </c>
      <c r="E44" s="120" t="s">
        <v>4785</v>
      </c>
      <c r="F44" s="94"/>
      <c r="G44" s="94"/>
      <c r="H44" s="94"/>
      <c r="I44" s="94"/>
      <c r="J44" s="94"/>
      <c r="K44" s="94"/>
      <c r="L44" s="94"/>
      <c r="M44" s="94"/>
      <c r="N44" s="94"/>
      <c r="O44" s="94"/>
      <c r="P44" s="94"/>
      <c r="Q44" s="94"/>
      <c r="R44" s="94"/>
      <c r="S44" s="94"/>
      <c r="T44" s="94"/>
      <c r="U44" s="94"/>
    </row>
    <row r="45" spans="1:21">
      <c r="A45" s="94"/>
      <c r="B45" s="94"/>
      <c r="C45" s="94"/>
      <c r="D45" s="18">
        <v>382000</v>
      </c>
      <c r="E45" s="120" t="s">
        <v>4792</v>
      </c>
      <c r="F45" s="94"/>
      <c r="G45" s="94"/>
      <c r="H45" s="94"/>
      <c r="I45" s="94"/>
      <c r="J45" s="94"/>
      <c r="K45" s="94"/>
      <c r="L45" s="94"/>
      <c r="M45" s="94"/>
      <c r="N45" s="94"/>
      <c r="O45" s="94"/>
      <c r="P45" s="94"/>
      <c r="Q45" s="94"/>
      <c r="R45" s="94"/>
      <c r="S45" s="94"/>
      <c r="T45" s="94"/>
      <c r="U45" s="94"/>
    </row>
    <row r="46" spans="1:21">
      <c r="A46" s="94"/>
      <c r="B46" s="94"/>
      <c r="C46" s="94"/>
      <c r="D46" s="18">
        <v>-200000</v>
      </c>
      <c r="E46" s="120" t="s">
        <v>4793</v>
      </c>
      <c r="F46" s="94"/>
      <c r="G46" s="94"/>
      <c r="H46" s="94"/>
      <c r="I46" s="94"/>
      <c r="J46" s="94"/>
      <c r="K46" s="94"/>
      <c r="L46" s="94"/>
      <c r="M46" s="94"/>
      <c r="N46" s="94"/>
      <c r="O46" s="94"/>
      <c r="P46" s="94"/>
      <c r="Q46" s="94"/>
      <c r="R46" s="94"/>
      <c r="S46" s="94"/>
      <c r="T46" s="94"/>
      <c r="U46" s="94"/>
    </row>
    <row r="47" spans="1:21">
      <c r="A47" s="94"/>
      <c r="B47" s="94"/>
      <c r="C47" s="94"/>
      <c r="D47" s="18">
        <v>-2336075</v>
      </c>
      <c r="E47" s="120" t="s">
        <v>4796</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4799</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4806</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4808</v>
      </c>
      <c r="F50" s="94"/>
      <c r="G50" s="94"/>
      <c r="H50" s="94"/>
      <c r="I50" s="94"/>
      <c r="J50" s="94"/>
      <c r="K50" s="94"/>
      <c r="L50" s="94"/>
      <c r="M50" s="94"/>
      <c r="N50" s="94"/>
      <c r="O50" s="94"/>
      <c r="P50" s="94"/>
      <c r="Q50" s="94"/>
      <c r="R50" s="94"/>
      <c r="S50" s="94"/>
      <c r="T50" s="94"/>
      <c r="U50" s="94"/>
    </row>
    <row r="51" spans="1:21">
      <c r="A51" s="94"/>
      <c r="B51" s="94"/>
      <c r="C51" s="94"/>
      <c r="D51" s="18">
        <v>-40000</v>
      </c>
      <c r="E51" s="120" t="s">
        <v>4809</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4820</v>
      </c>
      <c r="F52" s="94"/>
      <c r="G52" s="94"/>
      <c r="H52" s="94"/>
      <c r="I52" s="94"/>
      <c r="J52" s="94"/>
      <c r="K52" s="94"/>
      <c r="L52" s="94"/>
      <c r="M52" s="94"/>
      <c r="N52" s="94"/>
      <c r="O52" s="94"/>
      <c r="P52" s="94"/>
      <c r="Q52" s="94"/>
      <c r="R52" s="94"/>
      <c r="S52" s="94"/>
      <c r="T52" s="94"/>
      <c r="U52" s="94"/>
    </row>
    <row r="53" spans="1:21">
      <c r="A53" s="94"/>
      <c r="B53" s="94"/>
      <c r="C53" s="94"/>
      <c r="D53" s="18">
        <v>160000</v>
      </c>
      <c r="E53" s="120" t="s">
        <v>4823</v>
      </c>
      <c r="F53" s="94"/>
      <c r="G53" s="94"/>
      <c r="H53" s="94"/>
      <c r="I53" s="94"/>
      <c r="J53" s="94"/>
      <c r="K53" s="94"/>
      <c r="L53" s="94"/>
      <c r="M53" s="94"/>
      <c r="N53" s="94"/>
      <c r="O53" s="94"/>
      <c r="P53" s="94"/>
      <c r="Q53" s="94"/>
      <c r="R53" s="94"/>
      <c r="S53" s="94"/>
      <c r="T53" s="94"/>
      <c r="U53" s="94"/>
    </row>
    <row r="54" spans="1:21">
      <c r="A54" s="94"/>
      <c r="B54" s="94"/>
      <c r="C54" s="94"/>
      <c r="D54" s="18">
        <v>-224012</v>
      </c>
      <c r="E54" s="120" t="s">
        <v>4858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4859</v>
      </c>
      <c r="F55" s="112"/>
      <c r="G55" s="41"/>
      <c r="H55" s="94"/>
      <c r="I55" s="94"/>
      <c r="J55" s="94"/>
      <c r="K55" s="94"/>
      <c r="L55" s="94"/>
      <c r="M55" s="94"/>
      <c r="N55" s="94"/>
      <c r="O55" s="94"/>
      <c r="P55" s="94"/>
      <c r="Q55" s="94"/>
      <c r="R55" s="94"/>
      <c r="S55" s="94"/>
      <c r="T55" s="94"/>
      <c r="U55" s="94"/>
    </row>
    <row r="56" spans="1:21">
      <c r="A56" s="94"/>
      <c r="B56" s="94"/>
      <c r="C56" s="94"/>
      <c r="D56" s="18">
        <v>1465000</v>
      </c>
      <c r="E56" s="120" t="s">
        <v>4866</v>
      </c>
      <c r="F56" s="112"/>
      <c r="G56" s="41"/>
      <c r="H56" s="94"/>
      <c r="I56" s="94"/>
      <c r="J56" s="94"/>
      <c r="K56" s="94"/>
      <c r="L56" s="94"/>
      <c r="M56" s="94"/>
      <c r="N56" s="94"/>
      <c r="O56" s="94"/>
      <c r="P56" s="94"/>
      <c r="Q56" s="94"/>
      <c r="R56" s="94"/>
      <c r="S56" s="94"/>
      <c r="T56" s="94"/>
      <c r="U56" s="94"/>
    </row>
    <row r="57" spans="1:21">
      <c r="A57" s="94"/>
      <c r="B57" s="94"/>
      <c r="C57" s="94"/>
      <c r="D57" s="18">
        <v>2600000</v>
      </c>
      <c r="E57" s="120" t="s">
        <v>4897</v>
      </c>
      <c r="F57" s="112"/>
      <c r="G57" s="41"/>
      <c r="H57" s="94"/>
      <c r="I57" s="94"/>
      <c r="J57" s="94"/>
      <c r="K57" s="94"/>
      <c r="L57" s="94"/>
      <c r="M57" s="94"/>
      <c r="N57" s="94"/>
      <c r="O57" s="94"/>
      <c r="P57" s="94"/>
      <c r="Q57" s="94"/>
      <c r="R57" s="94"/>
      <c r="S57" s="94"/>
      <c r="T57" s="94"/>
      <c r="U57" s="94"/>
    </row>
    <row r="58" spans="1:21">
      <c r="A58" s="94"/>
      <c r="B58" s="94"/>
      <c r="C58" s="94"/>
      <c r="D58" s="18">
        <v>-1170000</v>
      </c>
      <c r="E58" s="120" t="s">
        <v>4906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4905</v>
      </c>
      <c r="F59" s="112"/>
      <c r="G59" s="94"/>
      <c r="H59" s="94"/>
      <c r="I59" s="94"/>
      <c r="J59" s="94"/>
      <c r="K59" s="94"/>
      <c r="L59" s="94"/>
      <c r="M59" s="94"/>
      <c r="N59" s="94"/>
      <c r="O59" s="94"/>
      <c r="P59" s="94"/>
      <c r="Q59" s="94"/>
      <c r="R59" s="94"/>
      <c r="S59" s="94"/>
      <c r="T59" s="94"/>
      <c r="U59" s="94"/>
    </row>
    <row r="60" spans="1:21">
      <c r="A60" s="94"/>
      <c r="B60" s="94"/>
      <c r="C60" s="94"/>
      <c r="D60" s="18">
        <v>360000</v>
      </c>
      <c r="E60" s="120" t="s">
        <v>4913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6" t="s">
        <v>4930</v>
      </c>
      <c r="F61" s="94"/>
      <c r="G61" s="94"/>
      <c r="H61" s="94"/>
      <c r="I61" s="94"/>
      <c r="J61" s="94"/>
      <c r="K61" s="94"/>
      <c r="L61" s="94"/>
      <c r="M61" s="94"/>
      <c r="N61" s="94"/>
      <c r="O61" s="94"/>
      <c r="P61" s="94"/>
      <c r="Q61" s="94"/>
      <c r="R61" s="94"/>
      <c r="S61" s="94"/>
      <c r="T61" s="94"/>
      <c r="U61" s="94"/>
    </row>
    <row r="62" spans="1:21">
      <c r="A62" s="94"/>
      <c r="B62" s="94"/>
      <c r="C62" s="94"/>
      <c r="D62" s="18">
        <v>-550000</v>
      </c>
      <c r="E62" s="246" t="s">
        <v>4933</v>
      </c>
      <c r="F62" s="94"/>
      <c r="G62" s="94"/>
      <c r="H62" s="94"/>
      <c r="I62" s="94"/>
      <c r="J62" s="94"/>
      <c r="K62" s="94"/>
      <c r="L62" s="94"/>
      <c r="M62" s="94"/>
      <c r="N62" s="94"/>
      <c r="O62" s="94"/>
      <c r="P62" s="94"/>
      <c r="Q62" s="94"/>
      <c r="R62" s="94"/>
      <c r="S62" s="94"/>
      <c r="T62" s="94"/>
      <c r="U62" s="94"/>
    </row>
    <row r="63" spans="1:21">
      <c r="A63" s="94"/>
      <c r="B63" s="94"/>
      <c r="C63" s="94"/>
      <c r="D63" s="18">
        <v>-850000</v>
      </c>
      <c r="E63" s="246" t="s">
        <v>4939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6" t="s">
        <v>4942</v>
      </c>
      <c r="F64" s="94"/>
      <c r="G64" s="94"/>
      <c r="H64" s="94" t="s">
        <v>25</v>
      </c>
      <c r="I64" s="94"/>
      <c r="J64" s="94"/>
      <c r="K64" s="94"/>
      <c r="L64" s="94"/>
      <c r="M64" s="94"/>
      <c r="N64" s="94"/>
      <c r="O64" s="94"/>
      <c r="P64" s="94"/>
      <c r="Q64" s="94"/>
      <c r="R64" s="94"/>
      <c r="S64" s="94"/>
      <c r="T64" s="94"/>
      <c r="U64" s="94"/>
    </row>
    <row r="65" spans="1:21">
      <c r="A65" s="94"/>
      <c r="B65" s="94"/>
      <c r="C65" s="94"/>
      <c r="D65" s="18">
        <v>300000</v>
      </c>
      <c r="E65" s="246" t="s">
        <v>4947</v>
      </c>
      <c r="F65" s="94"/>
      <c r="G65" s="94"/>
      <c r="H65" s="94"/>
      <c r="I65" s="94"/>
      <c r="J65" s="94"/>
      <c r="K65" s="94"/>
      <c r="L65" s="94"/>
      <c r="M65" s="94"/>
      <c r="N65" s="94"/>
      <c r="O65" s="94"/>
      <c r="P65" s="94"/>
      <c r="Q65" s="94"/>
      <c r="R65" s="94"/>
      <c r="S65" s="94"/>
      <c r="T65" s="94"/>
      <c r="U65" s="94"/>
    </row>
    <row r="66" spans="1:21">
      <c r="A66" s="94"/>
      <c r="B66" s="94"/>
      <c r="C66" s="94"/>
      <c r="D66" s="18">
        <v>-2290500</v>
      </c>
      <c r="E66" s="246" t="s">
        <v>4948</v>
      </c>
      <c r="F66" s="94"/>
      <c r="G66" s="94"/>
      <c r="H66" s="94"/>
      <c r="I66" s="94"/>
      <c r="J66" s="94"/>
      <c r="K66" s="94"/>
      <c r="L66" s="94"/>
      <c r="M66" s="94"/>
      <c r="N66" s="94"/>
      <c r="O66" s="94"/>
      <c r="P66" s="94"/>
      <c r="Q66" s="94"/>
      <c r="R66" s="94"/>
      <c r="S66" s="94"/>
      <c r="T66" s="94"/>
      <c r="U66" s="94"/>
    </row>
    <row r="67" spans="1:21">
      <c r="A67" s="94"/>
      <c r="B67" s="94"/>
      <c r="C67" s="94"/>
      <c r="D67" s="18">
        <v>1700000</v>
      </c>
      <c r="E67" s="246" t="s">
        <v>4955</v>
      </c>
      <c r="F67" s="94"/>
      <c r="G67" s="94"/>
      <c r="H67" s="94"/>
      <c r="I67" s="94"/>
      <c r="J67" s="94"/>
      <c r="K67" s="94"/>
      <c r="L67" s="94"/>
      <c r="M67" s="94"/>
      <c r="N67" s="94"/>
      <c r="O67" s="94"/>
      <c r="P67" s="94"/>
      <c r="Q67" s="94"/>
      <c r="R67" s="94"/>
      <c r="S67" s="94"/>
      <c r="T67" s="94"/>
      <c r="U67" s="94"/>
    </row>
    <row r="68" spans="1:21">
      <c r="A68" s="94"/>
      <c r="B68" s="94"/>
      <c r="C68" s="94"/>
      <c r="D68" s="18">
        <v>-150000</v>
      </c>
      <c r="E68" s="246" t="s">
        <v>4960</v>
      </c>
      <c r="F68" s="94"/>
      <c r="G68" s="94"/>
      <c r="H68" s="94"/>
      <c r="I68" s="94"/>
      <c r="J68" s="94"/>
      <c r="K68" s="94"/>
      <c r="L68" s="94"/>
      <c r="M68" s="94"/>
      <c r="N68" s="94"/>
      <c r="O68" s="94"/>
      <c r="P68" s="94"/>
      <c r="Q68" s="94"/>
      <c r="R68" s="94"/>
      <c r="S68" s="94"/>
      <c r="T68" s="94"/>
      <c r="U68" s="94"/>
    </row>
    <row r="69" spans="1:21">
      <c r="A69" s="94"/>
      <c r="B69" s="94"/>
      <c r="C69" s="94"/>
      <c r="D69" s="18">
        <v>-550000</v>
      </c>
      <c r="E69" s="246" t="s">
        <v>4963</v>
      </c>
      <c r="F69" s="94"/>
      <c r="G69" s="94" t="s">
        <v>25</v>
      </c>
      <c r="H69" s="94"/>
      <c r="I69" s="94"/>
      <c r="J69" s="94"/>
      <c r="K69" s="94"/>
      <c r="L69" s="94"/>
      <c r="M69" s="94"/>
      <c r="N69" s="94"/>
      <c r="O69" s="94"/>
      <c r="P69" s="94"/>
      <c r="Q69" s="94"/>
      <c r="R69" s="94"/>
      <c r="S69" s="94"/>
      <c r="T69" s="94"/>
      <c r="U69" s="94"/>
    </row>
    <row r="70" spans="1:21">
      <c r="A70" s="94"/>
      <c r="B70" s="94"/>
      <c r="C70" s="94"/>
      <c r="D70" s="18">
        <v>13350000</v>
      </c>
      <c r="E70" s="246" t="s">
        <v>4981</v>
      </c>
      <c r="F70" s="94"/>
      <c r="G70" s="94" t="s">
        <v>25</v>
      </c>
      <c r="H70" s="94"/>
      <c r="I70" s="94"/>
      <c r="J70" s="94"/>
      <c r="K70" s="94"/>
      <c r="L70" s="94"/>
      <c r="M70" s="94"/>
      <c r="N70" s="94"/>
      <c r="O70" s="94"/>
      <c r="P70" s="94"/>
      <c r="Q70" s="94"/>
      <c r="R70" s="94"/>
      <c r="S70" s="94"/>
      <c r="T70" s="94"/>
      <c r="U70" s="94"/>
    </row>
    <row r="71" spans="1:21">
      <c r="A71" s="94"/>
      <c r="B71" s="94"/>
      <c r="C71" s="94"/>
      <c r="D71" s="18">
        <v>-200000</v>
      </c>
      <c r="E71" s="246" t="s">
        <v>4995</v>
      </c>
      <c r="F71" s="94"/>
      <c r="G71" s="94"/>
      <c r="H71" s="94"/>
      <c r="I71" s="94"/>
      <c r="J71" s="94"/>
      <c r="K71" s="94"/>
      <c r="L71" s="94"/>
      <c r="M71" s="94"/>
      <c r="N71" s="94"/>
      <c r="O71" s="94"/>
      <c r="P71" s="94"/>
      <c r="Q71" s="94"/>
      <c r="R71" s="94"/>
      <c r="S71" s="94"/>
      <c r="T71" s="94"/>
      <c r="U71" s="94"/>
    </row>
    <row r="72" spans="1:21">
      <c r="A72" s="94"/>
      <c r="B72" s="94"/>
      <c r="C72" s="94"/>
      <c r="D72" s="18">
        <v>1500000</v>
      </c>
      <c r="E72" s="246" t="s">
        <v>4996</v>
      </c>
      <c r="F72" s="94"/>
      <c r="G72" s="94"/>
      <c r="H72" s="94"/>
      <c r="I72" s="94"/>
      <c r="J72" s="94"/>
      <c r="K72" s="94"/>
      <c r="L72" s="94"/>
      <c r="M72" s="94"/>
      <c r="N72" s="94"/>
      <c r="O72" s="94"/>
      <c r="P72" s="94"/>
      <c r="Q72" s="94"/>
      <c r="R72" s="94"/>
      <c r="S72" s="94"/>
      <c r="T72" s="94"/>
      <c r="U72" s="94"/>
    </row>
    <row r="73" spans="1:21">
      <c r="A73" s="94"/>
      <c r="B73" s="94"/>
      <c r="C73" s="94"/>
      <c r="D73" s="18">
        <v>-550000</v>
      </c>
      <c r="E73" s="246" t="s">
        <v>5000</v>
      </c>
      <c r="F73" s="94"/>
      <c r="G73" s="94"/>
      <c r="H73" s="94"/>
      <c r="I73" s="94"/>
      <c r="J73" s="94"/>
      <c r="K73" s="94"/>
      <c r="L73" s="94"/>
      <c r="M73" s="94"/>
      <c r="N73" s="94"/>
      <c r="O73" s="94"/>
      <c r="P73" s="94"/>
      <c r="Q73" s="94"/>
      <c r="R73" s="94"/>
      <c r="S73" s="94"/>
      <c r="T73" s="94"/>
      <c r="U73" s="94"/>
    </row>
    <row r="74" spans="1:21">
      <c r="A74" s="94"/>
      <c r="B74" s="94"/>
      <c r="C74" s="94"/>
      <c r="D74" s="18">
        <v>-50000</v>
      </c>
      <c r="E74" s="246" t="s">
        <v>5001</v>
      </c>
      <c r="F74" s="94"/>
      <c r="G74" s="94"/>
      <c r="H74" s="94"/>
      <c r="I74" s="94"/>
      <c r="J74" s="94"/>
      <c r="K74" s="94"/>
      <c r="L74" s="94"/>
      <c r="M74" s="94"/>
      <c r="N74" s="94"/>
      <c r="O74" s="94"/>
      <c r="P74" s="94"/>
      <c r="Q74" s="94"/>
      <c r="R74" s="94"/>
      <c r="S74" s="94"/>
      <c r="T74" s="94"/>
      <c r="U74" s="94"/>
    </row>
    <row r="75" spans="1:21">
      <c r="A75" s="94"/>
      <c r="B75" s="94"/>
      <c r="C75" s="94"/>
      <c r="D75" s="18">
        <v>-60000</v>
      </c>
      <c r="E75" s="246" t="s">
        <v>5002</v>
      </c>
      <c r="F75" s="94"/>
      <c r="G75" s="94"/>
      <c r="H75" s="94"/>
      <c r="I75" s="94"/>
      <c r="J75" s="94"/>
      <c r="K75" s="94"/>
      <c r="L75" s="94"/>
      <c r="M75" s="94"/>
      <c r="N75" s="94"/>
      <c r="O75" s="94"/>
      <c r="P75" s="94"/>
      <c r="Q75" s="94"/>
      <c r="R75" s="94"/>
      <c r="S75" s="94"/>
      <c r="T75" s="94"/>
      <c r="U75" s="94"/>
    </row>
    <row r="76" spans="1:21">
      <c r="A76" s="94"/>
      <c r="B76" s="94"/>
      <c r="C76" s="94"/>
      <c r="D76" s="18">
        <v>-43000</v>
      </c>
      <c r="E76" s="246" t="s">
        <v>5010</v>
      </c>
      <c r="F76" s="94"/>
      <c r="G76" s="94"/>
      <c r="H76" s="94"/>
      <c r="I76" s="94" t="s">
        <v>25</v>
      </c>
      <c r="J76" s="94"/>
      <c r="K76" s="94"/>
      <c r="L76" s="94"/>
      <c r="M76" s="94"/>
      <c r="N76" s="94"/>
      <c r="O76" s="94"/>
      <c r="P76" s="94"/>
      <c r="Q76" s="94"/>
      <c r="R76" s="94"/>
      <c r="S76" s="94"/>
      <c r="T76" s="94"/>
      <c r="U76" s="94"/>
    </row>
    <row r="77" spans="1:21">
      <c r="A77" s="94"/>
      <c r="B77" s="94"/>
      <c r="C77" s="94"/>
      <c r="D77" s="18">
        <v>-320000</v>
      </c>
      <c r="E77" s="246" t="s">
        <v>5016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6" t="s">
        <v>5017</v>
      </c>
      <c r="F78" s="94"/>
      <c r="G78" s="94"/>
      <c r="H78" s="94"/>
      <c r="I78" s="94"/>
      <c r="J78" s="94"/>
      <c r="K78" s="94"/>
      <c r="L78" s="94"/>
      <c r="M78" s="94"/>
      <c r="N78" s="94"/>
      <c r="O78" s="94"/>
      <c r="P78" s="94"/>
      <c r="Q78" s="94"/>
      <c r="R78" s="94"/>
      <c r="S78" s="94"/>
      <c r="T78" s="94"/>
      <c r="U78" s="94"/>
    </row>
    <row r="79" spans="1:21">
      <c r="A79" s="94"/>
      <c r="B79" s="94"/>
      <c r="C79" s="94"/>
      <c r="D79" s="18">
        <v>-750000</v>
      </c>
      <c r="E79" s="246" t="s">
        <v>5023</v>
      </c>
      <c r="F79" s="94"/>
      <c r="G79" s="94"/>
      <c r="H79" s="94"/>
      <c r="I79" s="94"/>
      <c r="J79" s="94"/>
      <c r="K79" s="94"/>
      <c r="L79" s="94"/>
      <c r="M79" s="94"/>
      <c r="N79" s="94"/>
      <c r="O79" s="94"/>
      <c r="P79" s="94"/>
      <c r="Q79" s="94"/>
      <c r="R79" s="94"/>
      <c r="S79" s="94"/>
      <c r="T79" s="94"/>
      <c r="U79" s="94"/>
    </row>
    <row r="80" spans="1:21">
      <c r="A80" s="94"/>
      <c r="B80" s="94"/>
      <c r="C80" s="94"/>
      <c r="D80" s="18">
        <v>50000</v>
      </c>
      <c r="E80" s="246" t="s">
        <v>5035</v>
      </c>
      <c r="F80" s="94"/>
      <c r="G80" s="94"/>
      <c r="H80" s="94"/>
      <c r="I80" s="94"/>
      <c r="J80" s="94"/>
      <c r="K80" s="94"/>
      <c r="L80" s="94"/>
      <c r="M80" s="94"/>
      <c r="N80" s="94"/>
      <c r="O80" s="94"/>
      <c r="P80" s="94"/>
      <c r="Q80" s="94"/>
      <c r="R80" s="94"/>
      <c r="S80" s="94"/>
      <c r="T80" s="94"/>
      <c r="U80" s="94"/>
    </row>
    <row r="81" spans="1:21">
      <c r="A81" s="94"/>
      <c r="B81" s="94"/>
      <c r="C81" s="94"/>
      <c r="D81" s="18">
        <v>500000</v>
      </c>
      <c r="E81" s="246" t="s">
        <v>5048</v>
      </c>
      <c r="F81" s="94"/>
      <c r="G81" s="94"/>
      <c r="H81" s="94"/>
      <c r="I81" s="94"/>
      <c r="J81" s="94"/>
      <c r="K81" s="94"/>
      <c r="L81" s="94"/>
      <c r="M81" s="94"/>
      <c r="N81" s="94"/>
      <c r="O81" s="94"/>
      <c r="P81" s="94"/>
      <c r="Q81" s="94"/>
      <c r="R81" s="94"/>
      <c r="S81" s="94"/>
      <c r="T81" s="94"/>
      <c r="U81" s="94"/>
    </row>
    <row r="82" spans="1:21">
      <c r="A82" s="94"/>
      <c r="B82" s="94"/>
      <c r="C82" s="94"/>
      <c r="D82" s="18">
        <v>1500000</v>
      </c>
      <c r="E82" s="246" t="s">
        <v>5047</v>
      </c>
      <c r="F82" s="94"/>
      <c r="G82" s="94"/>
      <c r="H82" s="94"/>
      <c r="I82" s="94"/>
      <c r="J82" s="94"/>
      <c r="K82" s="94"/>
      <c r="L82" s="94"/>
      <c r="M82" s="94"/>
      <c r="N82" s="94"/>
      <c r="O82" s="94"/>
      <c r="P82" s="94"/>
      <c r="Q82" s="94"/>
      <c r="R82" s="94"/>
      <c r="S82" s="94"/>
      <c r="T82" s="94"/>
      <c r="U82" s="94"/>
    </row>
    <row r="83" spans="1:21">
      <c r="D83" s="18">
        <v>-510000</v>
      </c>
      <c r="E83" s="246" t="s">
        <v>5049</v>
      </c>
      <c r="H83" t="s">
        <v>25</v>
      </c>
    </row>
    <row r="84" spans="1:21">
      <c r="D84" s="18">
        <v>-400000</v>
      </c>
      <c r="E84" s="246" t="s">
        <v>5063</v>
      </c>
    </row>
    <row r="85" spans="1:21">
      <c r="D85" s="18">
        <v>250000</v>
      </c>
      <c r="E85" s="246" t="s">
        <v>5069</v>
      </c>
    </row>
    <row r="86" spans="1:21">
      <c r="D86" s="18">
        <v>-50000</v>
      </c>
      <c r="E86" s="246" t="s">
        <v>5070</v>
      </c>
    </row>
    <row r="87" spans="1:21">
      <c r="D87" s="18">
        <v>-300000</v>
      </c>
      <c r="E87" s="246" t="s">
        <v>5074</v>
      </c>
    </row>
    <row r="88" spans="1:21">
      <c r="D88" s="18">
        <v>-100000</v>
      </c>
      <c r="E88" s="246" t="s">
        <v>5086</v>
      </c>
      <c r="I88" t="s">
        <v>25</v>
      </c>
    </row>
    <row r="89" spans="1:21">
      <c r="D89" s="18">
        <v>-250000</v>
      </c>
      <c r="E89" s="246" t="s">
        <v>5096</v>
      </c>
    </row>
    <row r="90" spans="1:21">
      <c r="D90" s="18">
        <v>-45000</v>
      </c>
      <c r="E90" s="246" t="s">
        <v>5119</v>
      </c>
    </row>
    <row r="91" spans="1:21">
      <c r="D91" s="18">
        <v>3000000</v>
      </c>
      <c r="E91" s="246" t="s">
        <v>5120</v>
      </c>
      <c r="I91" t="s">
        <v>25</v>
      </c>
    </row>
    <row r="92" spans="1:21">
      <c r="D92" s="18">
        <v>-550000</v>
      </c>
      <c r="E92" s="246" t="s">
        <v>5121</v>
      </c>
    </row>
    <row r="93" spans="1:21">
      <c r="D93" s="18">
        <v>-200000</v>
      </c>
      <c r="E93" s="246" t="s">
        <v>5133</v>
      </c>
      <c r="G93" t="s">
        <v>25</v>
      </c>
    </row>
    <row r="94" spans="1:21">
      <c r="D94" s="18">
        <v>-30500</v>
      </c>
      <c r="E94" s="246" t="s">
        <v>5134</v>
      </c>
    </row>
    <row r="95" spans="1:21">
      <c r="D95" s="18">
        <v>2500000</v>
      </c>
      <c r="E95" s="246" t="s">
        <v>5166</v>
      </c>
      <c r="I95" t="s">
        <v>25</v>
      </c>
    </row>
    <row r="96" spans="1:21">
      <c r="D96" s="18">
        <v>-230000</v>
      </c>
      <c r="E96" s="246" t="s">
        <v>5172</v>
      </c>
    </row>
    <row r="97" spans="4:10">
      <c r="D97" s="18">
        <v>-168950</v>
      </c>
      <c r="E97" s="246" t="s">
        <v>4378</v>
      </c>
      <c r="J97" t="s">
        <v>25</v>
      </c>
    </row>
    <row r="98" spans="4:10">
      <c r="D98" s="18">
        <v>-250000</v>
      </c>
      <c r="E98" s="246" t="s">
        <v>5183</v>
      </c>
    </row>
    <row r="99" spans="4:10">
      <c r="D99" s="18">
        <v>500000</v>
      </c>
      <c r="E99" s="246" t="s">
        <v>5194</v>
      </c>
    </row>
    <row r="100" spans="4:10">
      <c r="D100" s="18">
        <v>-520000</v>
      </c>
      <c r="E100" s="246" t="s">
        <v>5193</v>
      </c>
      <c r="J100" t="s">
        <v>25</v>
      </c>
    </row>
    <row r="101" spans="4:10">
      <c r="D101" s="18">
        <v>500000</v>
      </c>
      <c r="E101" s="246" t="s">
        <v>5204</v>
      </c>
    </row>
    <row r="102" spans="4:10">
      <c r="D102" s="18">
        <v>-200000</v>
      </c>
      <c r="E102" s="246" t="s">
        <v>5208</v>
      </c>
    </row>
    <row r="103" spans="4:10">
      <c r="D103" s="18">
        <v>-300000</v>
      </c>
      <c r="E103" s="246" t="s">
        <v>5209</v>
      </c>
    </row>
    <row r="104" spans="4:10">
      <c r="D104" s="18">
        <v>-530000</v>
      </c>
      <c r="E104" s="246" t="s">
        <v>5227</v>
      </c>
    </row>
    <row r="105" spans="4:10">
      <c r="D105" s="18">
        <v>-550000</v>
      </c>
      <c r="E105" s="246" t="s">
        <v>5229</v>
      </c>
    </row>
    <row r="106" spans="4:10">
      <c r="D106" s="18">
        <v>-200000</v>
      </c>
      <c r="E106" s="246" t="s">
        <v>5251</v>
      </c>
    </row>
    <row r="107" spans="4:10">
      <c r="D107" s="18">
        <v>-1600000</v>
      </c>
      <c r="E107" s="246" t="s">
        <v>5253</v>
      </c>
      <c r="G107" t="s">
        <v>25</v>
      </c>
    </row>
    <row r="108" spans="4:10">
      <c r="D108" s="18">
        <v>1600000</v>
      </c>
      <c r="E108" s="246" t="s">
        <v>5257</v>
      </c>
    </row>
    <row r="109" spans="4:10">
      <c r="D109" s="18">
        <v>-550000</v>
      </c>
      <c r="E109" s="246" t="s">
        <v>5259</v>
      </c>
    </row>
    <row r="110" spans="4:10">
      <c r="D110" s="18">
        <v>-15000</v>
      </c>
      <c r="E110" s="246" t="s">
        <v>5264</v>
      </c>
    </row>
    <row r="111" spans="4:10">
      <c r="D111" s="18">
        <v>-325000</v>
      </c>
      <c r="E111" s="246" t="s">
        <v>5277</v>
      </c>
    </row>
    <row r="112" spans="4:10">
      <c r="D112" s="18">
        <v>-130000</v>
      </c>
      <c r="E112" s="246" t="s">
        <v>5278</v>
      </c>
    </row>
    <row r="113" spans="4:10">
      <c r="D113" s="18">
        <v>-250000</v>
      </c>
      <c r="E113" s="246" t="s">
        <v>5286</v>
      </c>
      <c r="J113" t="s">
        <v>25</v>
      </c>
    </row>
    <row r="114" spans="4:10">
      <c r="D114" s="18">
        <v>-750000</v>
      </c>
      <c r="E114" s="246" t="s">
        <v>5289</v>
      </c>
    </row>
    <row r="115" spans="4:10">
      <c r="D115" s="18">
        <v>250000</v>
      </c>
      <c r="E115" s="246" t="s">
        <v>5295</v>
      </c>
    </row>
    <row r="116" spans="4:10">
      <c r="D116" s="18">
        <v>-2100000</v>
      </c>
      <c r="E116" s="246" t="s">
        <v>5307</v>
      </c>
    </row>
    <row r="117" spans="4:10">
      <c r="D117" s="18">
        <v>-1000000</v>
      </c>
      <c r="E117" s="246" t="s">
        <v>5316</v>
      </c>
    </row>
    <row r="118" spans="4:10">
      <c r="D118" s="18">
        <v>-100000</v>
      </c>
      <c r="E118" s="246" t="s">
        <v>5317</v>
      </c>
    </row>
    <row r="119" spans="4:10">
      <c r="D119" s="18">
        <v>-550000</v>
      </c>
      <c r="E119" s="246" t="s">
        <v>5347</v>
      </c>
    </row>
    <row r="120" spans="4:10">
      <c r="D120" s="18">
        <v>-550000</v>
      </c>
      <c r="E120" s="246" t="s">
        <v>5348</v>
      </c>
    </row>
    <row r="121" spans="4:10">
      <c r="D121" s="18">
        <v>-390000</v>
      </c>
      <c r="E121" s="246" t="s">
        <v>5375</v>
      </c>
      <c r="H121" t="s">
        <v>25</v>
      </c>
      <c r="J121" t="s">
        <v>25</v>
      </c>
    </row>
    <row r="122" spans="4:10">
      <c r="D122" s="18">
        <v>2432520</v>
      </c>
      <c r="E122" s="246" t="s">
        <v>5376</v>
      </c>
    </row>
    <row r="123" spans="4:10">
      <c r="D123" s="18">
        <v>8000000</v>
      </c>
      <c r="E123" s="246" t="s">
        <v>5391</v>
      </c>
    </row>
    <row r="124" spans="4:10">
      <c r="D124" s="18">
        <v>-83930</v>
      </c>
      <c r="E124" s="246" t="s">
        <v>5400</v>
      </c>
    </row>
    <row r="125" spans="4:10">
      <c r="D125" s="18">
        <v>1000000</v>
      </c>
      <c r="E125" s="246" t="s">
        <v>5429</v>
      </c>
    </row>
    <row r="126" spans="4:10">
      <c r="D126" s="18">
        <v>-1333333</v>
      </c>
      <c r="E126" s="246" t="s">
        <v>5430</v>
      </c>
      <c r="J126" t="s">
        <v>25</v>
      </c>
    </row>
    <row r="127" spans="4:10">
      <c r="D127" s="18">
        <v>-1050000</v>
      </c>
      <c r="E127" s="246" t="s">
        <v>5446</v>
      </c>
    </row>
    <row r="128" spans="4:10">
      <c r="D128" s="18">
        <v>-2000000</v>
      </c>
      <c r="E128" s="246" t="s">
        <v>5455</v>
      </c>
      <c r="I128" t="s">
        <v>25</v>
      </c>
    </row>
    <row r="129" spans="4:5">
      <c r="D129" s="18">
        <v>-250000</v>
      </c>
      <c r="E129" s="246" t="s">
        <v>5463</v>
      </c>
    </row>
    <row r="130" spans="4:5">
      <c r="D130" s="18">
        <v>-550000</v>
      </c>
      <c r="E130" s="246" t="s">
        <v>5471</v>
      </c>
    </row>
    <row r="131" spans="4:5">
      <c r="D131" s="18">
        <v>210000</v>
      </c>
      <c r="E131" s="246" t="s">
        <v>5472</v>
      </c>
    </row>
    <row r="132" spans="4:5">
      <c r="D132" s="18">
        <v>-724200</v>
      </c>
      <c r="E132" s="246" t="s">
        <v>5504</v>
      </c>
    </row>
    <row r="133" spans="4:5">
      <c r="D133" s="18">
        <v>-400000</v>
      </c>
      <c r="E133" s="246" t="s">
        <v>5515</v>
      </c>
    </row>
    <row r="134" spans="4:5">
      <c r="D134" s="18">
        <v>-550000</v>
      </c>
      <c r="E134" s="246" t="s">
        <v>5526</v>
      </c>
    </row>
    <row r="135" spans="4:5">
      <c r="D135" s="18">
        <v>-2167000</v>
      </c>
      <c r="E135" s="246" t="s">
        <v>5529</v>
      </c>
    </row>
    <row r="136" spans="4:5">
      <c r="D136" s="18">
        <v>-125000</v>
      </c>
      <c r="E136" s="246" t="s">
        <v>5536</v>
      </c>
    </row>
    <row r="137" spans="4:5">
      <c r="D137" s="18">
        <v>-200000</v>
      </c>
      <c r="E137" s="246" t="s">
        <v>5543</v>
      </c>
    </row>
    <row r="138" spans="4:5">
      <c r="D138" s="18">
        <v>-2000000</v>
      </c>
      <c r="E138" s="246" t="s">
        <v>5557</v>
      </c>
    </row>
    <row r="139" spans="4:5">
      <c r="D139" s="18">
        <v>-1287000</v>
      </c>
      <c r="E139" s="246" t="s">
        <v>5564</v>
      </c>
    </row>
    <row r="140" spans="4:5">
      <c r="D140" s="18">
        <v>-2000000</v>
      </c>
      <c r="E140" s="246" t="s">
        <v>5568</v>
      </c>
    </row>
    <row r="141" spans="4:5">
      <c r="D141" s="18">
        <v>-2500000</v>
      </c>
      <c r="E141" s="246" t="s">
        <v>5569</v>
      </c>
    </row>
    <row r="142" spans="4:5">
      <c r="D142" s="18">
        <v>-500000</v>
      </c>
      <c r="E142" s="246" t="s">
        <v>5585</v>
      </c>
    </row>
    <row r="143" spans="4:5">
      <c r="D143" s="18">
        <v>-83930</v>
      </c>
      <c r="E143" s="246" t="s">
        <v>5593</v>
      </c>
    </row>
    <row r="144" spans="4:5">
      <c r="D144" s="18">
        <v>-550000</v>
      </c>
      <c r="E144" s="246" t="s">
        <v>5592</v>
      </c>
    </row>
    <row r="145" spans="4:9">
      <c r="D145" s="18">
        <v>-25000</v>
      </c>
      <c r="E145" s="246" t="s">
        <v>5601</v>
      </c>
      <c r="I145" t="s">
        <v>25</v>
      </c>
    </row>
    <row r="146" spans="4:9">
      <c r="D146" s="18">
        <v>-180000</v>
      </c>
      <c r="E146" s="246" t="s">
        <v>5654</v>
      </c>
      <c r="G146" t="s">
        <v>25</v>
      </c>
    </row>
    <row r="147" spans="4:9">
      <c r="D147" s="18">
        <v>-30000</v>
      </c>
      <c r="E147" s="246" t="s">
        <v>5653</v>
      </c>
    </row>
    <row r="148" spans="4:9">
      <c r="D148" s="18">
        <v>-47000</v>
      </c>
      <c r="E148" s="246" t="s">
        <v>5652</v>
      </c>
    </row>
    <row r="149" spans="4:9">
      <c r="D149" s="18">
        <v>-1000000</v>
      </c>
      <c r="E149" s="246" t="s">
        <v>5655</v>
      </c>
    </row>
    <row r="150" spans="4:9">
      <c r="D150" s="18">
        <v>-500000</v>
      </c>
      <c r="E150" s="246" t="s">
        <v>5668</v>
      </c>
    </row>
    <row r="151" spans="4:9">
      <c r="D151" s="18">
        <v>-5000000</v>
      </c>
      <c r="E151" s="246" t="s">
        <v>5674</v>
      </c>
    </row>
    <row r="152" spans="4:9">
      <c r="D152" s="18">
        <v>-200000</v>
      </c>
      <c r="E152" s="246" t="s">
        <v>5684</v>
      </c>
    </row>
    <row r="153" spans="4:9">
      <c r="D153" s="18">
        <v>-268000</v>
      </c>
      <c r="E153" s="246" t="s">
        <v>5718</v>
      </c>
      <c r="I153" t="s">
        <v>25</v>
      </c>
    </row>
    <row r="154" spans="4:9">
      <c r="D154" s="18">
        <v>-1800000</v>
      </c>
      <c r="E154" s="246" t="s">
        <v>5737</v>
      </c>
    </row>
    <row r="155" spans="4:9" ht="30">
      <c r="D155" s="18">
        <v>-3200000</v>
      </c>
      <c r="E155" s="246" t="s">
        <v>5738</v>
      </c>
      <c r="I155" t="s">
        <v>25</v>
      </c>
    </row>
    <row r="156" spans="4:9">
      <c r="D156" s="18">
        <v>-300000</v>
      </c>
      <c r="E156" s="246" t="s">
        <v>5748</v>
      </c>
    </row>
    <row r="157" spans="4:9">
      <c r="D157" s="18">
        <v>-1300000</v>
      </c>
      <c r="E157" s="246" t="s">
        <v>5749</v>
      </c>
    </row>
    <row r="158" spans="4:9">
      <c r="D158" s="18">
        <v>860000</v>
      </c>
      <c r="E158" s="246" t="s">
        <v>5767</v>
      </c>
    </row>
    <row r="159" spans="4:9">
      <c r="D159" s="18">
        <v>-83900</v>
      </c>
      <c r="E159" s="246" t="s">
        <v>5780</v>
      </c>
      <c r="I159" t="s">
        <v>25</v>
      </c>
    </row>
    <row r="160" spans="4:9">
      <c r="D160" s="18">
        <v>-3810000</v>
      </c>
      <c r="E160" s="246" t="s">
        <v>5801</v>
      </c>
      <c r="H160" t="s">
        <v>25</v>
      </c>
    </row>
    <row r="161" spans="4:9">
      <c r="D161" s="18">
        <v>30000000</v>
      </c>
      <c r="E161" s="246" t="s">
        <v>5951</v>
      </c>
      <c r="I161" t="s">
        <v>25</v>
      </c>
    </row>
    <row r="162" spans="4:9">
      <c r="D162" s="18">
        <v>50000000</v>
      </c>
      <c r="E162" s="246" t="s">
        <v>5975</v>
      </c>
    </row>
    <row r="163" spans="4:9">
      <c r="D163" s="18">
        <v>-19100000</v>
      </c>
      <c r="E163" s="246" t="s">
        <v>5974</v>
      </c>
    </row>
    <row r="164" spans="4:9">
      <c r="D164" s="18"/>
      <c r="E164" s="246"/>
      <c r="I164" t="s">
        <v>25</v>
      </c>
    </row>
    <row r="165" spans="4:9">
      <c r="D165" s="18"/>
      <c r="E165" s="246"/>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4499</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4499</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4503</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4503</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4506</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4506</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4509</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4512</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4512</v>
      </c>
      <c r="B11" s="18">
        <v>-1287000</v>
      </c>
      <c r="C11" s="18">
        <v>0</v>
      </c>
      <c r="D11" s="111">
        <f t="shared" si="0"/>
        <v>-1287000</v>
      </c>
      <c r="E11" s="19" t="s">
        <v>4513</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4509</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4510</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4520</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4523</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4524</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4526</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4533</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4536</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4537</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4546</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4545</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4549</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4554</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4558</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4558</v>
      </c>
      <c r="B29" s="18">
        <v>-77315</v>
      </c>
      <c r="C29" s="18">
        <v>0</v>
      </c>
      <c r="D29" s="111">
        <f t="shared" si="0"/>
        <v>-77315</v>
      </c>
      <c r="E29" s="19" t="s">
        <v>4560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4562</v>
      </c>
      <c r="B30" s="18">
        <v>-66850</v>
      </c>
      <c r="C30" s="18">
        <v>0</v>
      </c>
      <c r="D30" s="111">
        <f t="shared" si="0"/>
        <v>-66850</v>
      </c>
      <c r="E30" s="19" t="s">
        <v>4565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4562</v>
      </c>
      <c r="B31" s="166">
        <v>-30000</v>
      </c>
      <c r="C31" s="166">
        <v>0</v>
      </c>
      <c r="D31" s="166">
        <f>B31-C31</f>
        <v>-30000</v>
      </c>
      <c r="E31" s="166" t="s">
        <v>4564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4501</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4505</v>
      </c>
      <c r="F40" s="94"/>
      <c r="G40" s="94"/>
      <c r="H40" s="94"/>
      <c r="I40" s="94"/>
      <c r="J40" s="94"/>
      <c r="K40" s="94"/>
      <c r="L40" s="94"/>
      <c r="M40" s="94"/>
      <c r="N40" s="94"/>
      <c r="O40" s="94"/>
      <c r="P40" s="94"/>
      <c r="Q40" s="94"/>
      <c r="R40" s="94"/>
      <c r="S40" s="94"/>
    </row>
    <row r="41" spans="1:19" ht="24.75" customHeight="1">
      <c r="A41" s="94"/>
      <c r="B41" s="94"/>
      <c r="C41" s="94"/>
      <c r="D41" s="18">
        <v>3576</v>
      </c>
      <c r="E41" s="120" t="s">
        <v>4507</v>
      </c>
      <c r="F41" s="94"/>
      <c r="G41" s="94"/>
      <c r="H41" s="94"/>
      <c r="I41" s="94"/>
      <c r="J41" s="94"/>
      <c r="K41" s="94"/>
      <c r="L41" s="94"/>
      <c r="M41" s="94"/>
      <c r="N41" s="94"/>
      <c r="O41" s="94"/>
      <c r="P41" s="94"/>
      <c r="Q41" s="94"/>
      <c r="R41" s="94"/>
      <c r="S41" s="94"/>
    </row>
    <row r="42" spans="1:19" ht="30.75" customHeight="1">
      <c r="A42" s="94"/>
      <c r="B42" s="94"/>
      <c r="C42" s="94"/>
      <c r="D42" s="18">
        <v>-400000</v>
      </c>
      <c r="E42" s="120" t="s">
        <v>4508</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4514</v>
      </c>
      <c r="F44" s="94"/>
      <c r="G44" s="94"/>
      <c r="H44" s="94"/>
      <c r="I44" s="94"/>
      <c r="J44" s="94"/>
      <c r="K44" s="94"/>
      <c r="L44" s="94"/>
      <c r="M44" s="94"/>
      <c r="N44" s="94"/>
      <c r="O44" s="94"/>
      <c r="P44" s="94"/>
      <c r="Q44" s="94"/>
      <c r="R44" s="94"/>
      <c r="S44" s="94"/>
    </row>
    <row r="45" spans="1:19" ht="24.75" customHeight="1">
      <c r="A45" s="94"/>
      <c r="B45" s="94"/>
      <c r="C45" s="94"/>
      <c r="D45" s="18">
        <v>-200000</v>
      </c>
      <c r="E45" s="120" t="s">
        <v>4521</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4547</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4555</v>
      </c>
      <c r="F47" s="94" t="s">
        <v>25</v>
      </c>
      <c r="G47" s="94"/>
      <c r="H47" s="94"/>
      <c r="I47" s="94"/>
      <c r="J47" s="94"/>
      <c r="K47" s="94"/>
      <c r="L47" s="94"/>
      <c r="M47" s="94"/>
      <c r="N47" s="94"/>
      <c r="O47" s="94"/>
      <c r="P47" s="94"/>
      <c r="Q47" s="94"/>
      <c r="R47" s="94"/>
      <c r="S47" s="94"/>
    </row>
    <row r="48" spans="1:19">
      <c r="A48" s="94"/>
      <c r="B48" s="94"/>
      <c r="C48" s="94"/>
      <c r="D48" s="18">
        <v>49315</v>
      </c>
      <c r="E48" s="120" t="s">
        <v>4561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4499</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4500</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4503</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4503</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4506</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4506</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4509</v>
      </c>
      <c r="B273" s="18">
        <v>-900000</v>
      </c>
      <c r="C273" s="18">
        <v>0</v>
      </c>
      <c r="D273" s="18">
        <f t="shared" si="18"/>
        <v>-900000</v>
      </c>
      <c r="E273" s="97" t="s">
        <v>4515</v>
      </c>
      <c r="F273" s="97">
        <v>1</v>
      </c>
      <c r="G273" s="36">
        <f t="shared" si="21"/>
        <v>92</v>
      </c>
      <c r="H273" s="97">
        <f t="shared" si="15"/>
        <v>0</v>
      </c>
      <c r="I273" s="97">
        <f t="shared" si="13"/>
        <v>-82800000</v>
      </c>
      <c r="J273" s="97">
        <f t="shared" si="20"/>
        <v>0</v>
      </c>
      <c r="K273" s="97">
        <f t="shared" si="17"/>
        <v>-82800000</v>
      </c>
    </row>
    <row r="274" spans="1:12">
      <c r="A274" s="97" t="s">
        <v>4512</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4512</v>
      </c>
      <c r="B275" s="18">
        <v>-1287000</v>
      </c>
      <c r="C275" s="18">
        <v>0</v>
      </c>
      <c r="D275" s="18">
        <f t="shared" si="18"/>
        <v>-1287000</v>
      </c>
      <c r="E275" s="97" t="s">
        <v>4513</v>
      </c>
      <c r="F275" s="97">
        <v>2</v>
      </c>
      <c r="G275" s="36">
        <f t="shared" si="21"/>
        <v>91</v>
      </c>
      <c r="H275" s="97">
        <f t="shared" si="15"/>
        <v>0</v>
      </c>
      <c r="I275" s="97">
        <f t="shared" si="13"/>
        <v>-117117000</v>
      </c>
      <c r="J275" s="97">
        <f t="shared" si="20"/>
        <v>0</v>
      </c>
      <c r="K275" s="97">
        <f t="shared" si="17"/>
        <v>-117117000</v>
      </c>
    </row>
    <row r="276" spans="1:12">
      <c r="A276" s="97" t="s">
        <v>4510</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4520</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4523</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4524</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4526</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4536</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4536</v>
      </c>
      <c r="B285" s="18">
        <v>-3995000</v>
      </c>
      <c r="C285" s="18">
        <v>0</v>
      </c>
      <c r="D285" s="18">
        <f t="shared" si="18"/>
        <v>-3995000</v>
      </c>
      <c r="E285" s="97" t="s">
        <v>4537</v>
      </c>
      <c r="F285" s="97">
        <v>3</v>
      </c>
      <c r="G285" s="36">
        <f t="shared" si="21"/>
        <v>78</v>
      </c>
      <c r="H285" s="97">
        <f t="shared" si="15"/>
        <v>0</v>
      </c>
      <c r="I285" s="97">
        <f t="shared" si="13"/>
        <v>-311610000</v>
      </c>
      <c r="J285" s="97">
        <f t="shared" si="22"/>
        <v>0</v>
      </c>
      <c r="K285" s="97">
        <f t="shared" si="23"/>
        <v>-311610000</v>
      </c>
    </row>
    <row r="286" spans="1:12">
      <c r="A286" s="97" t="s">
        <v>4545</v>
      </c>
      <c r="B286" s="18">
        <v>-2010700</v>
      </c>
      <c r="C286" s="18">
        <v>0</v>
      </c>
      <c r="D286" s="18">
        <f t="shared" si="18"/>
        <v>-2010700</v>
      </c>
      <c r="E286" s="97" t="s">
        <v>4548</v>
      </c>
      <c r="F286" s="97">
        <v>0</v>
      </c>
      <c r="G286" s="36">
        <f t="shared" si="21"/>
        <v>75</v>
      </c>
      <c r="H286" s="97">
        <f t="shared" si="15"/>
        <v>0</v>
      </c>
      <c r="I286" s="97">
        <f t="shared" si="13"/>
        <v>-150802500</v>
      </c>
      <c r="J286" s="97">
        <f t="shared" si="22"/>
        <v>0</v>
      </c>
      <c r="K286" s="97">
        <f t="shared" si="23"/>
        <v>-150802500</v>
      </c>
    </row>
    <row r="287" spans="1:12">
      <c r="A287" s="97" t="s">
        <v>4545</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4549</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4554</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4558</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4562</v>
      </c>
      <c r="B293" s="18">
        <v>-96850</v>
      </c>
      <c r="C293" s="18">
        <v>0</v>
      </c>
      <c r="D293" s="18">
        <f t="shared" si="18"/>
        <v>-96850</v>
      </c>
      <c r="E293" s="97" t="s">
        <v>4566</v>
      </c>
      <c r="F293" s="97">
        <v>2</v>
      </c>
      <c r="G293" s="36">
        <f t="shared" si="21"/>
        <v>67</v>
      </c>
      <c r="H293" s="97">
        <f t="shared" si="15"/>
        <v>0</v>
      </c>
      <c r="I293" s="97">
        <f t="shared" si="13"/>
        <v>-6488950</v>
      </c>
      <c r="J293" s="97">
        <f t="shared" si="22"/>
        <v>0</v>
      </c>
      <c r="K293" s="97">
        <f t="shared" si="23"/>
        <v>-6488950</v>
      </c>
    </row>
    <row r="294" spans="1:13">
      <c r="A294" s="97" t="s">
        <v>4568</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4581</v>
      </c>
      <c r="B296" s="18">
        <v>-200000</v>
      </c>
      <c r="C296" s="18">
        <v>0</v>
      </c>
      <c r="D296" s="18">
        <f t="shared" si="18"/>
        <v>-200000</v>
      </c>
      <c r="E296" s="97" t="s">
        <v>4582</v>
      </c>
      <c r="F296" s="97">
        <v>3</v>
      </c>
      <c r="G296" s="36">
        <f t="shared" si="21"/>
        <v>64</v>
      </c>
      <c r="H296" s="97">
        <f t="shared" si="15"/>
        <v>0</v>
      </c>
      <c r="I296" s="97">
        <f t="shared" si="13"/>
        <v>-12800000</v>
      </c>
      <c r="J296" s="97">
        <f t="shared" si="22"/>
        <v>0</v>
      </c>
      <c r="K296" s="97">
        <f t="shared" si="23"/>
        <v>-12800000</v>
      </c>
    </row>
    <row r="297" spans="1:13">
      <c r="A297" s="97" t="s">
        <v>4591</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4593</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4593</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4593</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4593</v>
      </c>
      <c r="B301" s="18">
        <v>-51400</v>
      </c>
      <c r="C301" s="18">
        <v>0</v>
      </c>
      <c r="D301" s="18">
        <f t="shared" si="18"/>
        <v>-51400</v>
      </c>
      <c r="E301" s="97" t="s">
        <v>4599</v>
      </c>
      <c r="F301" s="97">
        <v>1</v>
      </c>
      <c r="G301" s="36">
        <f t="shared" si="27"/>
        <v>60</v>
      </c>
      <c r="H301" s="97">
        <f t="shared" si="15"/>
        <v>0</v>
      </c>
      <c r="I301" s="97">
        <f t="shared" si="24"/>
        <v>-3084000</v>
      </c>
      <c r="J301" s="97">
        <f t="shared" si="25"/>
        <v>0</v>
      </c>
      <c r="K301" s="97">
        <f t="shared" si="26"/>
        <v>-3084000</v>
      </c>
    </row>
    <row r="302" spans="1:13">
      <c r="A302" s="97" t="s">
        <v>4602</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4602</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4614</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4614</v>
      </c>
      <c r="B305" s="18">
        <v>-276773</v>
      </c>
      <c r="C305" s="18">
        <v>0</v>
      </c>
      <c r="D305" s="18">
        <f t="shared" si="18"/>
        <v>-276773</v>
      </c>
      <c r="E305" s="97" t="s">
        <v>4616</v>
      </c>
      <c r="F305" s="97">
        <v>2</v>
      </c>
      <c r="G305" s="36">
        <f t="shared" si="27"/>
        <v>57</v>
      </c>
      <c r="H305" s="97">
        <f t="shared" si="15"/>
        <v>0</v>
      </c>
      <c r="I305" s="97">
        <f t="shared" si="24"/>
        <v>-15776061</v>
      </c>
      <c r="J305" s="97">
        <f t="shared" si="25"/>
        <v>0</v>
      </c>
      <c r="K305" s="97">
        <f t="shared" si="26"/>
        <v>-15776061</v>
      </c>
    </row>
    <row r="306" spans="1:13">
      <c r="A306" s="97" t="s">
        <v>4617</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4624</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4630</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4630</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4639</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4632</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4633</v>
      </c>
      <c r="B312" s="18">
        <v>-324747</v>
      </c>
      <c r="C312" s="18">
        <v>0</v>
      </c>
      <c r="D312" s="18">
        <f t="shared" si="18"/>
        <v>-324747</v>
      </c>
      <c r="E312" s="97" t="s">
        <v>4640</v>
      </c>
      <c r="F312" s="97">
        <v>3</v>
      </c>
      <c r="G312" s="36">
        <f t="shared" si="28"/>
        <v>44</v>
      </c>
      <c r="H312" s="97">
        <f t="shared" si="29"/>
        <v>0</v>
      </c>
      <c r="I312" s="97">
        <f t="shared" si="30"/>
        <v>-14288868</v>
      </c>
      <c r="J312" s="97">
        <f t="shared" si="31"/>
        <v>0</v>
      </c>
      <c r="K312" s="97">
        <f t="shared" si="32"/>
        <v>-14288868</v>
      </c>
      <c r="M312" t="s">
        <v>25</v>
      </c>
    </row>
    <row r="313" spans="1:13">
      <c r="A313" s="97" t="s">
        <v>4647</v>
      </c>
      <c r="B313" s="18">
        <v>-297992</v>
      </c>
      <c r="C313" s="18">
        <v>0</v>
      </c>
      <c r="D313" s="18">
        <f t="shared" si="18"/>
        <v>-297992</v>
      </c>
      <c r="E313" s="97" t="s">
        <v>4648</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4655</v>
      </c>
      <c r="B315" s="18">
        <v>-40000</v>
      </c>
      <c r="C315" s="18">
        <v>0</v>
      </c>
      <c r="D315" s="18">
        <f t="shared" si="18"/>
        <v>-40000</v>
      </c>
      <c r="E315" s="97" t="s">
        <v>4662</v>
      </c>
      <c r="F315" s="97">
        <v>4</v>
      </c>
      <c r="G315" s="36">
        <f t="shared" si="28"/>
        <v>38</v>
      </c>
      <c r="H315" s="97">
        <f t="shared" si="29"/>
        <v>0</v>
      </c>
      <c r="I315" s="97">
        <f t="shared" si="30"/>
        <v>-1520000</v>
      </c>
      <c r="J315" s="97">
        <f t="shared" si="31"/>
        <v>0</v>
      </c>
      <c r="K315" s="97">
        <f t="shared" si="32"/>
        <v>-1520000</v>
      </c>
    </row>
    <row r="316" spans="1:13">
      <c r="A316" s="97" t="s">
        <v>4667</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4685</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4692</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4692</v>
      </c>
      <c r="B319" s="18">
        <v>-1866154</v>
      </c>
      <c r="C319" s="18">
        <v>0</v>
      </c>
      <c r="D319" s="18">
        <f t="shared" si="18"/>
        <v>-1866154</v>
      </c>
      <c r="E319" s="19" t="s">
        <v>4698</v>
      </c>
      <c r="F319" s="97">
        <v>0</v>
      </c>
      <c r="G319" s="36">
        <f t="shared" si="28"/>
        <v>29</v>
      </c>
      <c r="H319" s="97">
        <f t="shared" si="29"/>
        <v>0</v>
      </c>
      <c r="I319" s="97">
        <f t="shared" si="30"/>
        <v>-54118466</v>
      </c>
      <c r="J319" s="97">
        <f t="shared" si="31"/>
        <v>0</v>
      </c>
      <c r="K319" s="97">
        <f t="shared" si="32"/>
        <v>-54118466</v>
      </c>
    </row>
    <row r="320" spans="1:13">
      <c r="A320" s="11" t="s">
        <v>4692</v>
      </c>
      <c r="B320" s="18">
        <v>-36600</v>
      </c>
      <c r="C320" s="18">
        <v>0</v>
      </c>
      <c r="D320" s="18">
        <f t="shared" si="18"/>
        <v>-36600</v>
      </c>
      <c r="E320" s="97" t="s">
        <v>4699</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4700</v>
      </c>
      <c r="B321" s="18">
        <v>-492000</v>
      </c>
      <c r="C321" s="18">
        <v>0</v>
      </c>
      <c r="D321" s="18">
        <f t="shared" si="18"/>
        <v>-492000</v>
      </c>
      <c r="E321" s="97" t="s">
        <v>4701</v>
      </c>
      <c r="F321" s="97">
        <v>0</v>
      </c>
      <c r="G321" s="36">
        <f t="shared" si="33"/>
        <v>28</v>
      </c>
      <c r="H321" s="97">
        <f t="shared" si="34"/>
        <v>0</v>
      </c>
      <c r="I321" s="97">
        <f t="shared" si="35"/>
        <v>-13776000</v>
      </c>
      <c r="J321" s="97">
        <f t="shared" si="36"/>
        <v>0</v>
      </c>
      <c r="K321" s="97">
        <f t="shared" si="37"/>
        <v>-13776000</v>
      </c>
      <c r="M321" t="s">
        <v>25</v>
      </c>
    </row>
    <row r="322" spans="1:14">
      <c r="A322" s="97" t="s">
        <v>4700</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4700</v>
      </c>
      <c r="B323" s="18">
        <v>-40000</v>
      </c>
      <c r="C323" s="18">
        <v>0</v>
      </c>
      <c r="D323" s="18">
        <f t="shared" si="18"/>
        <v>-40000</v>
      </c>
      <c r="E323" s="97" t="s">
        <v>4703</v>
      </c>
      <c r="F323" s="97">
        <v>1</v>
      </c>
      <c r="G323" s="36">
        <f t="shared" si="33"/>
        <v>28</v>
      </c>
      <c r="H323" s="97">
        <f t="shared" si="34"/>
        <v>0</v>
      </c>
      <c r="I323" s="97">
        <f t="shared" si="35"/>
        <v>-1120000</v>
      </c>
      <c r="J323" s="97">
        <f t="shared" si="36"/>
        <v>0</v>
      </c>
      <c r="K323" s="97">
        <f t="shared" si="37"/>
        <v>-1120000</v>
      </c>
    </row>
    <row r="324" spans="1:14">
      <c r="A324" s="97" t="s">
        <v>4704</v>
      </c>
      <c r="B324" s="18">
        <v>-66000</v>
      </c>
      <c r="C324" s="18">
        <v>0</v>
      </c>
      <c r="D324" s="18">
        <f t="shared" si="18"/>
        <v>-66000</v>
      </c>
      <c r="E324" s="97" t="s">
        <v>4703</v>
      </c>
      <c r="F324" s="97">
        <v>1</v>
      </c>
      <c r="G324" s="36">
        <f t="shared" si="33"/>
        <v>27</v>
      </c>
      <c r="H324" s="97">
        <f t="shared" si="34"/>
        <v>0</v>
      </c>
      <c r="I324" s="97">
        <f t="shared" si="35"/>
        <v>-1782000</v>
      </c>
      <c r="J324" s="97">
        <f t="shared" si="36"/>
        <v>0</v>
      </c>
      <c r="K324" s="97">
        <f t="shared" si="37"/>
        <v>-1782000</v>
      </c>
    </row>
    <row r="325" spans="1:14">
      <c r="A325" s="97" t="s">
        <v>4705</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4705</v>
      </c>
      <c r="B326" s="18">
        <v>-200500</v>
      </c>
      <c r="C326" s="18">
        <v>0</v>
      </c>
      <c r="D326" s="18">
        <f t="shared" si="18"/>
        <v>-200500</v>
      </c>
      <c r="E326" s="97" t="s">
        <v>4706</v>
      </c>
      <c r="F326" s="97">
        <v>2</v>
      </c>
      <c r="G326" s="36">
        <f t="shared" si="33"/>
        <v>26</v>
      </c>
      <c r="H326" s="97">
        <f t="shared" si="34"/>
        <v>0</v>
      </c>
      <c r="I326" s="97">
        <f t="shared" si="35"/>
        <v>-5213000</v>
      </c>
      <c r="J326" s="97">
        <f t="shared" si="36"/>
        <v>0</v>
      </c>
      <c r="K326" s="97">
        <f t="shared" si="37"/>
        <v>-5213000</v>
      </c>
      <c r="M326" t="s">
        <v>25</v>
      </c>
    </row>
    <row r="327" spans="1:14">
      <c r="A327" s="97" t="s">
        <v>4710</v>
      </c>
      <c r="B327" s="18">
        <v>1563000</v>
      </c>
      <c r="C327" s="18">
        <v>0</v>
      </c>
      <c r="D327" s="18">
        <f t="shared" si="18"/>
        <v>1563000</v>
      </c>
      <c r="E327" s="97" t="s">
        <v>4713</v>
      </c>
      <c r="F327" s="97">
        <v>0</v>
      </c>
      <c r="G327" s="36">
        <f t="shared" si="33"/>
        <v>24</v>
      </c>
      <c r="H327" s="97">
        <f t="shared" si="34"/>
        <v>1</v>
      </c>
      <c r="I327" s="97">
        <f t="shared" si="35"/>
        <v>35949000</v>
      </c>
      <c r="J327" s="97">
        <f t="shared" si="36"/>
        <v>0</v>
      </c>
      <c r="K327" s="97">
        <f t="shared" si="37"/>
        <v>35949000</v>
      </c>
    </row>
    <row r="328" spans="1:14">
      <c r="A328" s="97" t="s">
        <v>4710</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4721</v>
      </c>
      <c r="B329" s="18">
        <v>-20000</v>
      </c>
      <c r="C329" s="18">
        <v>0</v>
      </c>
      <c r="D329" s="18">
        <f t="shared" si="18"/>
        <v>-20000</v>
      </c>
      <c r="E329" s="97" t="s">
        <v>4724</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4733</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4738</v>
      </c>
      <c r="F331" s="97">
        <v>2</v>
      </c>
      <c r="G331" s="36">
        <f t="shared" si="33"/>
        <v>19</v>
      </c>
      <c r="H331" s="97">
        <f t="shared" si="34"/>
        <v>0</v>
      </c>
      <c r="I331" s="97">
        <f t="shared" si="35"/>
        <v>-15019500</v>
      </c>
      <c r="J331" s="97">
        <f t="shared" si="36"/>
        <v>0</v>
      </c>
      <c r="K331" s="97">
        <f t="shared" si="37"/>
        <v>-15019500</v>
      </c>
    </row>
    <row r="332" spans="1:14">
      <c r="A332" s="97" t="s">
        <v>4742</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4747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4750</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4750</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4750</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4752</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4752</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4753</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4753</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4758</v>
      </c>
      <c r="B341" s="18">
        <v>433375</v>
      </c>
      <c r="C341" s="18">
        <v>0</v>
      </c>
      <c r="D341" s="18">
        <f t="shared" si="18"/>
        <v>433375</v>
      </c>
      <c r="E341" s="97" t="s">
        <v>4761</v>
      </c>
      <c r="F341" s="97">
        <v>1</v>
      </c>
      <c r="G341" s="36">
        <f>G342+F341</f>
        <v>11</v>
      </c>
      <c r="H341" s="97">
        <f>IF(B341&gt;0,1,0)</f>
        <v>1</v>
      </c>
      <c r="I341" s="97">
        <f>B341*(G341-H341)</f>
        <v>4333750</v>
      </c>
      <c r="J341" s="97">
        <f>C341*(G341-H341)</f>
        <v>0</v>
      </c>
      <c r="K341" s="97">
        <f>D341*(G341-H341)</f>
        <v>4333750</v>
      </c>
      <c r="M341" t="s">
        <v>25</v>
      </c>
    </row>
    <row r="342" spans="1:13">
      <c r="A342" s="97" t="s">
        <v>4767</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4767</v>
      </c>
      <c r="B343" s="18">
        <v>-300000</v>
      </c>
      <c r="C343" s="18">
        <v>0</v>
      </c>
      <c r="D343" s="18">
        <f t="shared" si="18"/>
        <v>-300000</v>
      </c>
      <c r="E343" s="97" t="s">
        <v>4770</v>
      </c>
      <c r="F343" s="97">
        <v>0</v>
      </c>
      <c r="G343" s="36">
        <f t="shared" si="38"/>
        <v>10</v>
      </c>
      <c r="H343" s="97">
        <f t="shared" si="39"/>
        <v>0</v>
      </c>
      <c r="I343" s="97">
        <f t="shared" si="40"/>
        <v>-3000000</v>
      </c>
      <c r="J343" s="97">
        <f t="shared" si="41"/>
        <v>0</v>
      </c>
      <c r="K343" s="97">
        <f t="shared" si="42"/>
        <v>-3000000</v>
      </c>
    </row>
    <row r="344" spans="1:13">
      <c r="A344" s="97" t="s">
        <v>4767</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4772</v>
      </c>
      <c r="F345" s="97">
        <v>3</v>
      </c>
      <c r="G345" s="36">
        <f t="shared" si="38"/>
        <v>9</v>
      </c>
      <c r="H345" s="97">
        <f t="shared" si="39"/>
        <v>0</v>
      </c>
      <c r="I345" s="97">
        <f t="shared" si="40"/>
        <v>-12759543</v>
      </c>
      <c r="J345" s="97">
        <f t="shared" si="41"/>
        <v>0</v>
      </c>
      <c r="K345" s="97">
        <f t="shared" si="42"/>
        <v>-12759543</v>
      </c>
      <c r="L345" t="s">
        <v>25</v>
      </c>
    </row>
    <row r="346" spans="1:13">
      <c r="A346" s="97" t="s">
        <v>4777</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4774</v>
      </c>
      <c r="B347" s="18">
        <v>-960200</v>
      </c>
      <c r="C347" s="18">
        <v>0</v>
      </c>
      <c r="D347" s="18">
        <f t="shared" si="18"/>
        <v>-960200</v>
      </c>
      <c r="E347" s="97" t="s">
        <v>4778</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4568</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4581</v>
      </c>
      <c r="B5" s="18">
        <v>-200000</v>
      </c>
      <c r="C5" s="18">
        <v>0</v>
      </c>
      <c r="D5" s="111">
        <f t="shared" si="0"/>
        <v>-200000</v>
      </c>
      <c r="E5" s="20" t="s">
        <v>4578</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4591</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4593</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4593</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4593</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4593</v>
      </c>
      <c r="B10" s="18">
        <v>-51400</v>
      </c>
      <c r="C10" s="18">
        <v>0</v>
      </c>
      <c r="D10" s="111">
        <f t="shared" si="0"/>
        <v>-51400</v>
      </c>
      <c r="E10" s="19" t="s">
        <v>4599</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4602</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4602</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4614</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4614</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4614</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4617</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4624</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4630</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4630</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4639</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4632</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4633</v>
      </c>
      <c r="B22" s="18">
        <v>-324747</v>
      </c>
      <c r="C22" s="18">
        <v>0</v>
      </c>
      <c r="D22" s="111">
        <f t="shared" si="0"/>
        <v>-324747</v>
      </c>
      <c r="E22" s="19" t="s">
        <v>4640</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4647</v>
      </c>
      <c r="B23" s="18">
        <v>-297992</v>
      </c>
      <c r="C23" s="18">
        <v>0</v>
      </c>
      <c r="D23" s="111">
        <f t="shared" si="0"/>
        <v>-297992</v>
      </c>
      <c r="E23" s="19" t="s">
        <v>4648</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4655</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4574</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4575</v>
      </c>
      <c r="F40" s="94"/>
      <c r="G40" s="94"/>
      <c r="H40" s="94"/>
      <c r="I40" s="94"/>
      <c r="J40" s="94"/>
      <c r="K40" s="94"/>
      <c r="L40" s="94"/>
      <c r="M40" s="94"/>
      <c r="N40" s="94"/>
      <c r="O40" s="94"/>
      <c r="P40" s="94"/>
      <c r="Q40" s="94"/>
      <c r="R40" s="94"/>
      <c r="S40" s="94"/>
    </row>
    <row r="41" spans="1:19">
      <c r="A41" s="94"/>
      <c r="B41" s="94"/>
      <c r="C41" s="94"/>
      <c r="D41" s="18">
        <v>47848</v>
      </c>
      <c r="E41" s="120" t="s">
        <v>4579</v>
      </c>
      <c r="F41" s="94"/>
      <c r="G41" s="94"/>
      <c r="H41" s="94"/>
      <c r="I41" s="94"/>
      <c r="J41" s="94"/>
      <c r="K41" s="94"/>
      <c r="L41" s="94"/>
      <c r="M41" s="94"/>
      <c r="N41" s="94"/>
      <c r="O41" s="94"/>
      <c r="P41" s="94"/>
      <c r="Q41" s="94"/>
      <c r="R41" s="94"/>
      <c r="S41" s="94"/>
    </row>
    <row r="42" spans="1:19">
      <c r="A42" s="94"/>
      <c r="B42" s="94"/>
      <c r="C42" s="94"/>
      <c r="D42" s="18">
        <v>200000</v>
      </c>
      <c r="E42" s="120" t="s">
        <v>4580</v>
      </c>
      <c r="F42" s="94"/>
      <c r="G42" s="94"/>
      <c r="H42" s="94"/>
      <c r="I42" s="94"/>
      <c r="J42" s="94"/>
      <c r="K42" s="94"/>
      <c r="L42" s="94"/>
      <c r="M42" s="94"/>
      <c r="N42" s="94"/>
      <c r="O42" s="94"/>
      <c r="P42" s="94"/>
      <c r="Q42" s="94"/>
      <c r="R42" s="94"/>
      <c r="S42" s="94"/>
    </row>
    <row r="43" spans="1:19">
      <c r="A43" s="94"/>
      <c r="B43" s="94"/>
      <c r="C43" s="94"/>
      <c r="D43" s="18">
        <v>60460</v>
      </c>
      <c r="E43" s="120" t="s">
        <v>4595</v>
      </c>
      <c r="F43" s="94"/>
      <c r="G43" s="94"/>
      <c r="H43" s="94"/>
      <c r="I43" s="94"/>
      <c r="J43" s="94"/>
      <c r="K43" s="94"/>
      <c r="L43" s="94"/>
      <c r="M43" s="94"/>
      <c r="N43" s="94"/>
      <c r="O43" s="94"/>
      <c r="P43" s="94"/>
      <c r="Q43" s="94"/>
      <c r="R43" s="94"/>
      <c r="S43" s="94"/>
    </row>
    <row r="44" spans="1:19">
      <c r="A44" s="94"/>
      <c r="B44" s="94"/>
      <c r="C44" s="94"/>
      <c r="D44" s="18">
        <v>-2400000</v>
      </c>
      <c r="E44" s="120" t="s">
        <v>4596</v>
      </c>
      <c r="F44" s="94"/>
      <c r="G44" s="94"/>
      <c r="H44" s="94"/>
      <c r="I44" s="94"/>
      <c r="J44" s="94"/>
      <c r="K44" s="94"/>
      <c r="L44" s="94"/>
      <c r="M44" s="94"/>
      <c r="N44" s="94"/>
      <c r="O44" s="94"/>
      <c r="P44" s="94"/>
      <c r="Q44" s="94"/>
      <c r="R44" s="94"/>
      <c r="S44" s="94"/>
    </row>
    <row r="45" spans="1:19">
      <c r="A45" s="94"/>
      <c r="B45" s="94"/>
      <c r="C45" s="94"/>
      <c r="D45" s="18">
        <v>135487</v>
      </c>
      <c r="E45" s="120" t="s">
        <v>4597</v>
      </c>
      <c r="F45" s="94"/>
      <c r="G45" s="94" t="s">
        <v>25</v>
      </c>
      <c r="H45" s="94"/>
      <c r="I45" s="94"/>
      <c r="J45" s="94"/>
      <c r="K45" s="94"/>
      <c r="L45" s="94"/>
      <c r="M45" s="94"/>
      <c r="N45" s="94"/>
      <c r="O45" s="94"/>
      <c r="P45" s="94"/>
      <c r="Q45" s="94"/>
      <c r="R45" s="94"/>
      <c r="S45" s="94"/>
    </row>
    <row r="46" spans="1:19">
      <c r="A46" s="94"/>
      <c r="B46" s="94"/>
      <c r="C46" s="94"/>
      <c r="D46" s="18">
        <v>347153</v>
      </c>
      <c r="E46" s="120" t="s">
        <v>4598</v>
      </c>
      <c r="F46" s="94"/>
      <c r="G46" s="94" t="s">
        <v>25</v>
      </c>
      <c r="H46" s="94"/>
      <c r="I46" s="94"/>
      <c r="J46" s="94"/>
      <c r="K46" s="94"/>
      <c r="L46" s="94"/>
      <c r="M46" s="94"/>
      <c r="N46" s="94"/>
      <c r="O46" s="94"/>
      <c r="P46" s="94"/>
      <c r="Q46" s="94"/>
      <c r="R46" s="94"/>
      <c r="S46" s="94"/>
    </row>
    <row r="47" spans="1:19">
      <c r="A47" s="94"/>
      <c r="B47" s="94"/>
      <c r="C47" s="94"/>
      <c r="D47" s="18">
        <v>51400</v>
      </c>
      <c r="E47" s="120" t="s">
        <v>4599</v>
      </c>
      <c r="F47" s="94" t="s">
        <v>25</v>
      </c>
      <c r="G47" s="94"/>
      <c r="H47" s="94"/>
      <c r="I47" s="94"/>
      <c r="J47" s="94"/>
      <c r="K47" s="94"/>
      <c r="L47" s="94"/>
      <c r="M47" s="94"/>
      <c r="N47" s="94"/>
      <c r="O47" s="94"/>
      <c r="P47" s="94"/>
      <c r="Q47" s="94"/>
      <c r="R47" s="94"/>
      <c r="S47" s="94"/>
    </row>
    <row r="48" spans="1:19">
      <c r="A48" s="94"/>
      <c r="B48" s="94"/>
      <c r="C48" s="94"/>
      <c r="D48" s="18">
        <v>-200000</v>
      </c>
      <c r="E48" s="120" t="s">
        <v>4603</v>
      </c>
      <c r="F48" s="94"/>
      <c r="G48" s="94"/>
      <c r="H48" s="94"/>
      <c r="I48" s="94"/>
      <c r="J48" s="94"/>
      <c r="K48" s="94"/>
      <c r="L48" s="94"/>
      <c r="M48" s="94"/>
      <c r="N48" s="94"/>
      <c r="O48" s="94"/>
      <c r="P48" s="94"/>
      <c r="Q48" s="94"/>
      <c r="R48" s="94"/>
      <c r="S48" s="94"/>
    </row>
    <row r="49" spans="1:19">
      <c r="A49" s="94"/>
      <c r="B49" s="94"/>
      <c r="C49" s="94"/>
      <c r="D49" s="18">
        <v>-400000</v>
      </c>
      <c r="E49" s="120" t="s">
        <v>4609</v>
      </c>
      <c r="F49" s="94"/>
      <c r="G49" s="94"/>
      <c r="H49" s="94" t="s">
        <v>25</v>
      </c>
      <c r="I49" s="94"/>
      <c r="J49" s="94"/>
      <c r="K49" s="94"/>
      <c r="L49" s="94"/>
      <c r="M49" s="94"/>
      <c r="N49" s="94"/>
      <c r="O49" s="94"/>
      <c r="P49" s="94"/>
      <c r="Q49" s="94"/>
      <c r="R49" s="94"/>
      <c r="S49" s="94"/>
    </row>
    <row r="50" spans="1:19">
      <c r="A50" s="94"/>
      <c r="B50" s="94"/>
      <c r="C50" s="94"/>
      <c r="D50" s="18">
        <v>-200000</v>
      </c>
      <c r="E50" s="120" t="s">
        <v>4610</v>
      </c>
      <c r="F50" s="94"/>
      <c r="G50" s="94"/>
      <c r="H50" s="94"/>
      <c r="I50" s="94"/>
      <c r="J50" s="94"/>
      <c r="K50" s="94"/>
      <c r="L50" s="94"/>
      <c r="M50" s="94"/>
      <c r="N50" s="94"/>
      <c r="O50" s="94"/>
      <c r="P50" s="94"/>
      <c r="Q50" s="94"/>
      <c r="R50" s="94"/>
      <c r="S50" s="94"/>
    </row>
    <row r="51" spans="1:19">
      <c r="A51" s="94"/>
      <c r="B51" s="94"/>
      <c r="C51" s="94"/>
      <c r="D51" s="18">
        <v>276773</v>
      </c>
      <c r="E51" s="120" t="s">
        <v>4615</v>
      </c>
      <c r="F51" s="94"/>
      <c r="G51" s="94"/>
      <c r="H51" s="94"/>
      <c r="I51" s="94"/>
      <c r="J51" s="94"/>
      <c r="K51" s="94"/>
      <c r="L51" s="94"/>
      <c r="M51" s="94"/>
      <c r="N51" s="94"/>
      <c r="O51" s="94"/>
      <c r="P51" s="94"/>
      <c r="Q51" s="94"/>
      <c r="R51" s="94"/>
      <c r="S51" s="94"/>
    </row>
    <row r="52" spans="1:19">
      <c r="A52" s="94"/>
      <c r="B52" s="94"/>
      <c r="C52" s="94"/>
      <c r="D52" s="18">
        <v>114710</v>
      </c>
      <c r="E52" s="120" t="s">
        <v>4618</v>
      </c>
      <c r="F52" s="112" t="s">
        <v>25</v>
      </c>
      <c r="G52" s="41" t="s">
        <v>25</v>
      </c>
      <c r="H52" s="94"/>
      <c r="I52" s="94"/>
      <c r="J52" s="94"/>
      <c r="K52" s="94"/>
      <c r="L52" s="94"/>
      <c r="M52" s="94"/>
      <c r="N52" s="94"/>
      <c r="O52" s="94"/>
      <c r="P52" s="94"/>
      <c r="Q52" s="94"/>
      <c r="R52" s="94"/>
      <c r="S52" s="94"/>
    </row>
    <row r="53" spans="1:19">
      <c r="A53" s="94"/>
      <c r="B53" s="94"/>
      <c r="C53" s="94"/>
      <c r="D53" s="18">
        <v>55120</v>
      </c>
      <c r="E53" s="120" t="s">
        <v>4631</v>
      </c>
      <c r="F53" s="112"/>
      <c r="G53" s="41"/>
      <c r="H53" s="94"/>
      <c r="I53" s="94"/>
      <c r="J53" s="94"/>
      <c r="K53" s="94"/>
      <c r="L53" s="94"/>
      <c r="M53" s="94"/>
      <c r="N53" s="94"/>
      <c r="O53" s="94"/>
      <c r="P53" s="94"/>
      <c r="Q53" s="94"/>
      <c r="R53" s="94"/>
      <c r="S53" s="94"/>
    </row>
    <row r="54" spans="1:19">
      <c r="A54" s="94"/>
      <c r="B54" s="94"/>
      <c r="C54" s="94"/>
      <c r="D54" s="18">
        <v>115000</v>
      </c>
      <c r="E54" s="120" t="s">
        <v>4636</v>
      </c>
      <c r="F54" s="112"/>
      <c r="G54" s="41"/>
      <c r="H54" s="94"/>
      <c r="I54" s="94"/>
      <c r="J54" s="94"/>
      <c r="K54" s="94"/>
      <c r="L54" s="94"/>
      <c r="M54" s="94"/>
      <c r="N54" s="94"/>
      <c r="O54" s="94"/>
      <c r="P54" s="94"/>
      <c r="Q54" s="94"/>
      <c r="R54" s="94"/>
      <c r="S54" s="94"/>
    </row>
    <row r="55" spans="1:19">
      <c r="A55" s="94"/>
      <c r="B55" s="94"/>
      <c r="C55" s="94"/>
      <c r="D55" s="18">
        <v>247560</v>
      </c>
      <c r="E55" s="120" t="s">
        <v>4637</v>
      </c>
      <c r="F55" s="112"/>
      <c r="G55" s="41"/>
      <c r="H55" s="94"/>
      <c r="I55" s="94"/>
      <c r="J55" s="94"/>
      <c r="K55" s="94"/>
      <c r="L55" s="94"/>
      <c r="M55" s="94"/>
      <c r="N55" s="94"/>
      <c r="O55" s="94"/>
      <c r="P55" s="94"/>
      <c r="Q55" s="94"/>
      <c r="R55" s="94"/>
      <c r="S55" s="94"/>
    </row>
    <row r="56" spans="1:19">
      <c r="A56" s="94"/>
      <c r="B56" s="94"/>
      <c r="C56" s="94"/>
      <c r="D56" s="18">
        <v>77187</v>
      </c>
      <c r="E56" s="120" t="s">
        <v>4638</v>
      </c>
      <c r="F56" s="94"/>
      <c r="G56" s="94"/>
      <c r="H56" s="94" t="s">
        <v>25</v>
      </c>
      <c r="I56" s="94"/>
      <c r="J56" s="94"/>
      <c r="K56" s="94"/>
      <c r="L56" s="94"/>
      <c r="M56" s="94"/>
      <c r="N56" s="94"/>
      <c r="O56" s="94"/>
      <c r="P56" s="94"/>
      <c r="Q56" s="94"/>
      <c r="R56" s="94"/>
      <c r="S56" s="94"/>
    </row>
    <row r="57" spans="1:19">
      <c r="A57" s="94"/>
      <c r="B57" s="94"/>
      <c r="C57" s="94"/>
      <c r="D57" s="18">
        <v>-140000</v>
      </c>
      <c r="E57" s="120" t="s">
        <v>4641</v>
      </c>
      <c r="F57" s="94"/>
      <c r="G57" s="94"/>
      <c r="H57" s="94"/>
      <c r="I57" s="94"/>
      <c r="J57" s="94"/>
      <c r="K57" s="94"/>
      <c r="L57" s="94"/>
      <c r="M57" s="94"/>
      <c r="N57" s="94"/>
      <c r="O57" s="94"/>
      <c r="P57" s="94"/>
      <c r="Q57" s="94"/>
      <c r="R57" s="94"/>
      <c r="S57" s="94"/>
    </row>
    <row r="58" spans="1:19">
      <c r="A58" s="94"/>
      <c r="B58" s="94"/>
      <c r="C58" s="94"/>
      <c r="D58" s="18">
        <v>-1600000</v>
      </c>
      <c r="E58" s="120" t="s">
        <v>4642</v>
      </c>
      <c r="F58" s="94"/>
      <c r="G58" s="94"/>
      <c r="H58" s="94"/>
      <c r="I58" s="94"/>
      <c r="J58" s="94"/>
      <c r="K58" s="94"/>
      <c r="L58" s="94"/>
      <c r="M58" s="94"/>
      <c r="N58" s="94"/>
      <c r="O58" s="94"/>
      <c r="P58" s="94"/>
      <c r="Q58" s="94"/>
      <c r="R58" s="94"/>
      <c r="S58" s="94"/>
    </row>
    <row r="59" spans="1:19">
      <c r="A59" s="94"/>
      <c r="B59" s="94"/>
      <c r="C59" s="94"/>
      <c r="D59" s="18">
        <v>-2000</v>
      </c>
      <c r="E59" s="120" t="s">
        <v>4649</v>
      </c>
      <c r="F59" s="94"/>
      <c r="G59" s="94"/>
      <c r="H59" s="94"/>
      <c r="I59" s="94"/>
      <c r="J59" s="94"/>
      <c r="K59" s="94"/>
      <c r="L59" s="94"/>
      <c r="M59" s="94"/>
      <c r="N59" s="94"/>
      <c r="O59" s="94"/>
      <c r="P59" s="94"/>
      <c r="Q59" s="94"/>
      <c r="R59" s="94"/>
      <c r="S59" s="94"/>
    </row>
    <row r="60" spans="1:19">
      <c r="A60" s="94"/>
      <c r="B60" s="94"/>
      <c r="C60" s="94"/>
      <c r="D60" s="18">
        <v>40000</v>
      </c>
      <c r="E60" s="120" t="s">
        <v>4660</v>
      </c>
      <c r="F60" s="94"/>
      <c r="G60" s="94"/>
      <c r="H60" s="94"/>
      <c r="I60" s="94"/>
      <c r="J60" s="94"/>
      <c r="K60" s="94"/>
      <c r="L60" s="94"/>
      <c r="M60" s="94"/>
      <c r="N60" s="94"/>
      <c r="O60" s="94"/>
      <c r="P60" s="94"/>
      <c r="Q60" s="94"/>
      <c r="R60" s="94"/>
      <c r="S60" s="94"/>
    </row>
    <row r="61" spans="1:19">
      <c r="A61" s="94"/>
      <c r="B61" s="94"/>
      <c r="C61" s="94"/>
      <c r="D61" s="18">
        <v>-146877</v>
      </c>
      <c r="E61" s="120" t="s">
        <v>4661</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4658</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4667</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4685</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4692</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4692</v>
      </c>
      <c r="B6" s="18">
        <v>-1866154</v>
      </c>
      <c r="C6" s="18">
        <v>0</v>
      </c>
      <c r="D6" s="111">
        <f t="shared" si="0"/>
        <v>-1866154</v>
      </c>
      <c r="E6" s="19" t="s">
        <v>4698</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4692</v>
      </c>
      <c r="B7" s="18">
        <v>-36600</v>
      </c>
      <c r="C7" s="18">
        <v>0</v>
      </c>
      <c r="D7" s="111">
        <f t="shared" si="0"/>
        <v>-36600</v>
      </c>
      <c r="E7" s="19" t="s">
        <v>4699</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4700</v>
      </c>
      <c r="B8" s="18">
        <v>-492000</v>
      </c>
      <c r="C8" s="18">
        <v>0</v>
      </c>
      <c r="D8" s="111">
        <f t="shared" si="0"/>
        <v>-492000</v>
      </c>
      <c r="E8" s="19" t="s">
        <v>4701</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4700</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4700</v>
      </c>
      <c r="B10" s="18">
        <v>-40000</v>
      </c>
      <c r="C10" s="18">
        <v>0</v>
      </c>
      <c r="D10" s="111">
        <f t="shared" si="0"/>
        <v>-40000</v>
      </c>
      <c r="E10" s="19" t="s">
        <v>4703</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4704</v>
      </c>
      <c r="B11" s="18">
        <v>-66000</v>
      </c>
      <c r="C11" s="18">
        <v>0</v>
      </c>
      <c r="D11" s="111">
        <f t="shared" si="0"/>
        <v>-66000</v>
      </c>
      <c r="E11" s="19" t="s">
        <v>4703</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4705</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4705</v>
      </c>
      <c r="B13" s="18">
        <v>-200500</v>
      </c>
      <c r="C13" s="18">
        <v>0</v>
      </c>
      <c r="D13" s="111">
        <f t="shared" si="0"/>
        <v>-200500</v>
      </c>
      <c r="E13" s="20" t="s">
        <v>4706</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4710</v>
      </c>
      <c r="B14" s="18">
        <v>1563000</v>
      </c>
      <c r="C14" s="18">
        <v>0</v>
      </c>
      <c r="D14" s="111">
        <f t="shared" si="0"/>
        <v>1563000</v>
      </c>
      <c r="E14" s="20" t="s">
        <v>4713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4710</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4721</v>
      </c>
      <c r="B16" s="18">
        <v>-20000</v>
      </c>
      <c r="C16" s="18">
        <v>0</v>
      </c>
      <c r="D16" s="111">
        <f t="shared" si="0"/>
        <v>-20000</v>
      </c>
      <c r="E16" s="20" t="s">
        <v>4724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4737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4742</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4747</v>
      </c>
      <c r="B20" s="18">
        <v>400000</v>
      </c>
      <c r="C20" s="18">
        <v>0</v>
      </c>
      <c r="D20" s="111">
        <f t="shared" si="0"/>
        <v>400000</v>
      </c>
      <c r="E20" s="19" t="s">
        <v>4748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4750</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4750</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4750</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4752</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4752</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4753</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4753</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4758</v>
      </c>
      <c r="B28" s="18">
        <v>433375</v>
      </c>
      <c r="C28" s="18">
        <v>0</v>
      </c>
      <c r="D28" s="111">
        <f t="shared" si="0"/>
        <v>433375</v>
      </c>
      <c r="E28" s="19" t="s">
        <v>4761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4767</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4767</v>
      </c>
      <c r="B30" s="18">
        <v>-300000</v>
      </c>
      <c r="C30" s="18">
        <v>0</v>
      </c>
      <c r="D30" s="111">
        <f t="shared" si="0"/>
        <v>-300000</v>
      </c>
      <c r="E30" s="19" t="s">
        <v>4770</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4767</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4772</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4665</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4666</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4676</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4677</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4684</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4690</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4695</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4696</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4697</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4698</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4702</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4707</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4708</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4711</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4717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4736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4743</v>
      </c>
      <c r="F68" s="94"/>
      <c r="G68" s="94"/>
      <c r="H68" s="94"/>
      <c r="I68" s="94"/>
    </row>
    <row r="69" spans="1:22">
      <c r="A69" s="94"/>
      <c r="B69" s="94"/>
      <c r="C69" s="94"/>
      <c r="D69" s="18">
        <v>-67844</v>
      </c>
      <c r="E69" s="120" t="s">
        <v>4745</v>
      </c>
      <c r="F69" s="94"/>
      <c r="G69" s="94"/>
      <c r="H69" s="94"/>
      <c r="I69" s="94"/>
    </row>
    <row r="70" spans="1:22">
      <c r="D70" s="18">
        <v>-400000</v>
      </c>
      <c r="E70" s="120" t="s">
        <v>4749</v>
      </c>
      <c r="G70" t="s">
        <v>25</v>
      </c>
    </row>
    <row r="71" spans="1:22">
      <c r="D71" s="18">
        <v>463200</v>
      </c>
      <c r="E71" s="120" t="s">
        <v>4751</v>
      </c>
    </row>
    <row r="72" spans="1:22">
      <c r="D72" s="18">
        <v>2000000</v>
      </c>
      <c r="E72" s="94" t="s">
        <v>4754</v>
      </c>
    </row>
    <row r="73" spans="1:22">
      <c r="D73" s="18">
        <v>-280000</v>
      </c>
      <c r="E73" t="s">
        <v>4755</v>
      </c>
    </row>
    <row r="74" spans="1:22">
      <c r="D74" s="18">
        <v>-200000</v>
      </c>
      <c r="E74" s="94" t="s">
        <v>4762</v>
      </c>
    </row>
    <row r="75" spans="1:22">
      <c r="D75" s="18">
        <v>-2000000</v>
      </c>
      <c r="E75" s="94" t="s">
        <v>4768</v>
      </c>
    </row>
    <row r="76" spans="1:22">
      <c r="D76" s="18">
        <v>92800</v>
      </c>
      <c r="E76" s="94" t="s">
        <v>4771</v>
      </c>
    </row>
    <row r="77" spans="1:22">
      <c r="D77" s="18">
        <v>1417727</v>
      </c>
      <c r="E77" s="94" t="s">
        <v>4772</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9" sqref="B9"/>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1743</v>
      </c>
      <c r="C5" s="97"/>
      <c r="D5" s="97"/>
      <c r="F5" s="130">
        <v>0.2</v>
      </c>
      <c r="G5" s="130">
        <v>0.46</v>
      </c>
      <c r="I5" s="97"/>
      <c r="J5" s="97"/>
      <c r="L5" s="97" t="s">
        <v>3689</v>
      </c>
      <c r="M5" s="97">
        <v>6150</v>
      </c>
      <c r="U5" s="94"/>
      <c r="V5" s="94"/>
      <c r="W5" s="94"/>
      <c r="X5" s="94"/>
      <c r="Y5" s="94"/>
      <c r="Z5" s="94"/>
    </row>
    <row r="6" spans="1:35" ht="20.25" customHeight="1">
      <c r="A6" s="97" t="s">
        <v>1100</v>
      </c>
      <c r="B6" s="97">
        <v>10000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4107327.0418006419</v>
      </c>
      <c r="C8" s="97">
        <f>B2*B4*B5/(B1*B3)+B7/B6</f>
        <v>410.73270418006422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6292672.9581993576</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4" t="s">
        <v>4928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4972</v>
      </c>
      <c r="X20" s="41">
        <v>9194342556</v>
      </c>
      <c r="Y20" s="41">
        <v>200</v>
      </c>
      <c r="Z20" s="41" t="s">
        <v>4491</v>
      </c>
      <c r="AA20" t="s">
        <v>4954</v>
      </c>
      <c r="AB20" s="94"/>
      <c r="AC20" s="94"/>
      <c r="AD20" s="94"/>
      <c r="AE20" s="94"/>
      <c r="AF20" s="94"/>
      <c r="AG20" s="94"/>
      <c r="AH20" s="94"/>
      <c r="AI20" s="94"/>
    </row>
    <row r="21" spans="5:35">
      <c r="O21" s="97"/>
      <c r="P21" s="97"/>
      <c r="Q21" s="342" t="s">
        <v>1073</v>
      </c>
      <c r="R21" s="342"/>
      <c r="S21" s="342"/>
      <c r="T21" s="342"/>
      <c r="U21" s="94"/>
      <c r="V21" s="94"/>
      <c r="W21" s="41" t="s">
        <v>4971</v>
      </c>
      <c r="X21" s="41">
        <v>9035210431</v>
      </c>
      <c r="Y21" s="41">
        <v>50</v>
      </c>
      <c r="Z21" s="41" t="s">
        <v>5234</v>
      </c>
      <c r="AA21" t="s">
        <v>4989</v>
      </c>
    </row>
    <row r="22" spans="5:35">
      <c r="O22" s="97"/>
      <c r="P22" s="97"/>
      <c r="Q22" s="342"/>
      <c r="R22" s="342"/>
      <c r="S22" s="342"/>
      <c r="T22" s="342"/>
      <c r="U22" s="94"/>
      <c r="V22" s="94"/>
      <c r="W22" s="41" t="s">
        <v>5058</v>
      </c>
      <c r="X22" s="41">
        <v>9909620343</v>
      </c>
      <c r="Y22" s="41">
        <v>200</v>
      </c>
      <c r="Z22" s="41" t="s">
        <v>5235</v>
      </c>
      <c r="AA22" t="s">
        <v>5238</v>
      </c>
      <c r="AB22" s="41" t="s">
        <v>5246</v>
      </c>
    </row>
    <row r="23" spans="5:35" ht="15.75">
      <c r="O23" s="176"/>
      <c r="P23" s="97" t="s">
        <v>4069</v>
      </c>
      <c r="Q23" s="343" t="s">
        <v>1074</v>
      </c>
      <c r="R23" s="344" t="s">
        <v>1075</v>
      </c>
      <c r="S23" s="343" t="s">
        <v>1076</v>
      </c>
      <c r="T23" s="345" t="s">
        <v>1077</v>
      </c>
      <c r="W23" s="41" t="s">
        <v>5059</v>
      </c>
      <c r="X23" s="41">
        <v>9378807702</v>
      </c>
      <c r="Y23" s="41">
        <v>0</v>
      </c>
      <c r="Z23" s="41">
        <v>0</v>
      </c>
      <c r="AD23" t="s">
        <v>25</v>
      </c>
    </row>
    <row r="24" spans="5:35">
      <c r="O24" s="97"/>
      <c r="P24" s="97"/>
      <c r="Q24" s="343"/>
      <c r="R24" s="344"/>
      <c r="S24" s="343"/>
      <c r="T24" s="345"/>
      <c r="W24" s="41" t="s">
        <v>5081</v>
      </c>
      <c r="X24" s="41"/>
      <c r="Y24" s="41">
        <v>200</v>
      </c>
      <c r="Z24" s="41" t="s">
        <v>4491</v>
      </c>
      <c r="AA24" t="s">
        <v>5093</v>
      </c>
      <c r="AB24" t="s">
        <v>5141</v>
      </c>
    </row>
    <row r="25" spans="5:35">
      <c r="O25" s="171" t="s">
        <v>4124</v>
      </c>
      <c r="P25" s="171">
        <v>2182188507</v>
      </c>
      <c r="Q25" s="172" t="s">
        <v>1078</v>
      </c>
      <c r="R25" s="172" t="s">
        <v>4070</v>
      </c>
      <c r="S25" s="172" t="s">
        <v>4075</v>
      </c>
      <c r="T25" s="172" t="s">
        <v>1079</v>
      </c>
      <c r="W25" s="41" t="s">
        <v>5098</v>
      </c>
      <c r="X25" s="41">
        <v>9013075723</v>
      </c>
      <c r="Y25" s="41">
        <v>100</v>
      </c>
      <c r="Z25" s="41" t="s">
        <v>5234</v>
      </c>
      <c r="AA25" t="s">
        <v>5162</v>
      </c>
    </row>
    <row r="26" spans="5:35">
      <c r="O26" s="171"/>
      <c r="P26" s="171">
        <v>2123095122</v>
      </c>
      <c r="Q26" s="173" t="s">
        <v>1080</v>
      </c>
      <c r="R26" s="173" t="s">
        <v>1081</v>
      </c>
      <c r="S26" s="173" t="s">
        <v>1082</v>
      </c>
      <c r="T26" s="173" t="s">
        <v>1083</v>
      </c>
      <c r="U26" s="94"/>
      <c r="V26" s="94"/>
      <c r="W26" s="41" t="s">
        <v>5236</v>
      </c>
      <c r="X26" s="41">
        <v>9214923916</v>
      </c>
      <c r="Y26" s="41">
        <v>100</v>
      </c>
      <c r="Z26" s="41" t="s">
        <v>4491</v>
      </c>
      <c r="AA26" s="204" t="s">
        <v>5230</v>
      </c>
      <c r="AB26" s="94"/>
    </row>
    <row r="27" spans="5:35" ht="30">
      <c r="O27" s="171" t="s">
        <v>4179</v>
      </c>
      <c r="P27" s="171">
        <v>2188831909</v>
      </c>
      <c r="Q27" s="97" t="s">
        <v>4072</v>
      </c>
      <c r="R27" s="97" t="s">
        <v>4073</v>
      </c>
      <c r="S27" s="97" t="s">
        <v>4074</v>
      </c>
      <c r="T27" s="174" t="s">
        <v>4076</v>
      </c>
      <c r="U27" s="94"/>
      <c r="V27" s="94"/>
      <c r="W27" s="41" t="s">
        <v>5237</v>
      </c>
      <c r="X27" s="41" t="s">
        <v>5285</v>
      </c>
      <c r="Y27" s="41">
        <v>80</v>
      </c>
      <c r="Z27" s="41" t="s">
        <v>5234</v>
      </c>
      <c r="AA27" s="204" t="s">
        <v>5230</v>
      </c>
      <c r="AB27" s="94"/>
    </row>
    <row r="28" spans="5:35" ht="60">
      <c r="E28" t="s">
        <v>25</v>
      </c>
      <c r="T28" s="22" t="s">
        <v>4063</v>
      </c>
      <c r="U28" s="94"/>
      <c r="V28" s="94"/>
      <c r="W28" s="41" t="s">
        <v>5582</v>
      </c>
      <c r="X28" s="41">
        <v>9373349244</v>
      </c>
      <c r="Y28" s="41">
        <v>300</v>
      </c>
      <c r="Z28" s="41" t="s">
        <v>5583</v>
      </c>
      <c r="AA28" s="94" t="s">
        <v>5577</v>
      </c>
      <c r="AB28" s="41" t="s">
        <v>5649</v>
      </c>
    </row>
    <row r="29" spans="5:35">
      <c r="R29" s="94"/>
      <c r="S29" s="94"/>
      <c r="T29" s="94"/>
      <c r="U29" s="94"/>
      <c r="V29" s="94"/>
      <c r="W29" s="41" t="s">
        <v>5610</v>
      </c>
      <c r="X29" s="41">
        <v>9332154549</v>
      </c>
      <c r="Y29" s="41">
        <v>260</v>
      </c>
      <c r="Z29" s="41" t="s">
        <v>5583</v>
      </c>
      <c r="AA29" s="94" t="s">
        <v>5608</v>
      </c>
      <c r="AB29" s="41" t="s">
        <v>5852</v>
      </c>
    </row>
    <row r="30" spans="5:35">
      <c r="R30" s="94"/>
      <c r="S30" s="94"/>
      <c r="T30" s="94"/>
      <c r="U30" s="94"/>
      <c r="V30" s="94"/>
      <c r="W30" s="41" t="s">
        <v>5851</v>
      </c>
      <c r="X30" s="41">
        <v>9944625742</v>
      </c>
      <c r="Y30" s="41">
        <v>120</v>
      </c>
      <c r="Z30" s="41" t="s">
        <v>4491</v>
      </c>
      <c r="AA30" s="94" t="s">
        <v>5837</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4520</v>
      </c>
      <c r="B73" s="111">
        <v>100000</v>
      </c>
      <c r="C73" s="97" t="s">
        <v>3875</v>
      </c>
      <c r="D73" s="97">
        <v>50</v>
      </c>
      <c r="E73" s="97">
        <f t="shared" si="3"/>
        <v>52</v>
      </c>
      <c r="F73" s="97">
        <f t="shared" si="1"/>
        <v>1</v>
      </c>
      <c r="G73" s="97">
        <f t="shared" si="2"/>
        <v>5100000</v>
      </c>
    </row>
    <row r="74" spans="1:9">
      <c r="A74" s="97" t="s">
        <v>4655</v>
      </c>
      <c r="B74" s="111">
        <v>-38130</v>
      </c>
      <c r="C74" s="97" t="s">
        <v>1024</v>
      </c>
      <c r="D74" s="97">
        <v>1</v>
      </c>
      <c r="E74" s="97">
        <f t="shared" si="3"/>
        <v>2</v>
      </c>
      <c r="F74" s="97">
        <f t="shared" si="1"/>
        <v>0</v>
      </c>
      <c r="G74" s="97">
        <f t="shared" si="2"/>
        <v>-76260</v>
      </c>
      <c r="I74" t="s">
        <v>25</v>
      </c>
    </row>
    <row r="75" spans="1:9">
      <c r="A75" s="97" t="s">
        <v>4658</v>
      </c>
      <c r="B75" s="111">
        <v>-20000</v>
      </c>
      <c r="C75" s="97" t="s">
        <v>4663</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4490</v>
      </c>
      <c r="B1" t="s">
        <v>4493</v>
      </c>
      <c r="C1" t="s">
        <v>4494</v>
      </c>
    </row>
    <row r="2" spans="1:3">
      <c r="A2" t="s">
        <v>4491</v>
      </c>
      <c r="B2" t="s">
        <v>4495</v>
      </c>
      <c r="C2" t="s">
        <v>4496</v>
      </c>
    </row>
    <row r="3" spans="1:3">
      <c r="A3" t="s">
        <v>4492</v>
      </c>
      <c r="B3" t="s">
        <v>4494</v>
      </c>
      <c r="C3" t="s">
        <v>4497</v>
      </c>
    </row>
    <row r="5" spans="1:3">
      <c r="A5" t="s">
        <v>4700</v>
      </c>
      <c r="B5" t="s">
        <v>4715</v>
      </c>
    </row>
    <row r="6" spans="1:3">
      <c r="A6" t="s">
        <v>4710</v>
      </c>
      <c r="B6" t="s">
        <v>4716</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4652</v>
      </c>
      <c r="C1" s="97" t="s">
        <v>3919</v>
      </c>
      <c r="D1" s="97" t="s">
        <v>8</v>
      </c>
      <c r="E1" s="94"/>
      <c r="F1" s="94"/>
      <c r="G1" s="94"/>
    </row>
    <row r="2" spans="1:7">
      <c r="A2" s="97" t="s">
        <v>4643</v>
      </c>
      <c r="B2" s="93">
        <v>10300</v>
      </c>
      <c r="C2" s="93">
        <v>0</v>
      </c>
      <c r="D2" s="97" t="s">
        <v>4653</v>
      </c>
      <c r="E2" s="94"/>
      <c r="F2" s="94"/>
      <c r="G2" s="94"/>
    </row>
    <row r="3" spans="1:7">
      <c r="A3" s="97" t="s">
        <v>4643</v>
      </c>
      <c r="B3" s="93">
        <v>0</v>
      </c>
      <c r="C3" s="93">
        <v>5500</v>
      </c>
      <c r="D3" s="97" t="s">
        <v>4654</v>
      </c>
      <c r="E3" s="94"/>
      <c r="F3" s="94"/>
      <c r="G3" s="94"/>
    </row>
    <row r="4" spans="1:7">
      <c r="A4" s="97" t="s">
        <v>3668</v>
      </c>
      <c r="B4" s="93">
        <v>0</v>
      </c>
      <c r="C4" s="93">
        <v>1000</v>
      </c>
      <c r="D4" s="97" t="s">
        <v>315</v>
      </c>
      <c r="E4" s="94"/>
      <c r="F4" s="94"/>
      <c r="G4" s="94"/>
    </row>
    <row r="5" spans="1:7">
      <c r="A5" s="97" t="s">
        <v>4658</v>
      </c>
      <c r="B5" s="93">
        <v>0</v>
      </c>
      <c r="C5" s="93">
        <v>1000</v>
      </c>
      <c r="D5" s="97" t="s">
        <v>315</v>
      </c>
      <c r="E5" s="94"/>
      <c r="F5" s="94"/>
      <c r="G5" s="94"/>
    </row>
    <row r="6" spans="1:7">
      <c r="A6" s="97" t="s">
        <v>4670</v>
      </c>
      <c r="B6" s="93">
        <v>0</v>
      </c>
      <c r="C6" s="93">
        <v>3000</v>
      </c>
      <c r="D6" s="97" t="s">
        <v>4674</v>
      </c>
      <c r="E6" s="94"/>
      <c r="F6" s="94"/>
      <c r="G6" s="94"/>
    </row>
    <row r="7" spans="1:7">
      <c r="A7" s="97" t="s">
        <v>4670</v>
      </c>
      <c r="B7" s="93">
        <v>9200</v>
      </c>
      <c r="C7" s="93">
        <v>0</v>
      </c>
      <c r="D7" s="97" t="s">
        <v>4653</v>
      </c>
      <c r="E7" s="94"/>
      <c r="F7" s="94"/>
      <c r="G7" s="94"/>
    </row>
    <row r="8" spans="1:7">
      <c r="A8" s="97" t="s">
        <v>4672</v>
      </c>
      <c r="B8" s="93">
        <v>0</v>
      </c>
      <c r="C8" s="93">
        <v>1000</v>
      </c>
      <c r="D8" s="97" t="s">
        <v>315</v>
      </c>
      <c r="E8" s="94"/>
      <c r="F8" s="94"/>
      <c r="G8" s="94"/>
    </row>
    <row r="9" spans="1:7">
      <c r="A9" s="97" t="s">
        <v>4679</v>
      </c>
      <c r="B9" s="97">
        <v>0</v>
      </c>
      <c r="C9" s="97">
        <v>1000</v>
      </c>
      <c r="D9" s="97" t="s">
        <v>315</v>
      </c>
      <c r="E9" s="94"/>
      <c r="F9" s="94"/>
      <c r="G9" s="94"/>
    </row>
    <row r="10" spans="1:7">
      <c r="A10" s="97" t="s">
        <v>4679</v>
      </c>
      <c r="B10" s="93">
        <v>10200</v>
      </c>
      <c r="C10" s="93">
        <v>0</v>
      </c>
      <c r="D10" s="97" t="s">
        <v>4653</v>
      </c>
      <c r="E10" s="94"/>
      <c r="F10" s="94"/>
      <c r="G10" s="94"/>
    </row>
    <row r="11" spans="1:7">
      <c r="A11" s="97" t="s">
        <v>4692</v>
      </c>
      <c r="B11" s="93">
        <v>0</v>
      </c>
      <c r="C11" s="93">
        <v>1000</v>
      </c>
      <c r="D11" s="97" t="s">
        <v>315</v>
      </c>
      <c r="E11" s="94"/>
      <c r="F11" s="94"/>
      <c r="G11" s="94"/>
    </row>
    <row r="12" spans="1:7">
      <c r="A12" s="97" t="s">
        <v>4709</v>
      </c>
      <c r="B12" s="93">
        <v>0</v>
      </c>
      <c r="C12" s="93">
        <v>1000</v>
      </c>
      <c r="D12" s="97" t="s">
        <v>315</v>
      </c>
      <c r="E12" s="94"/>
      <c r="F12" s="94"/>
      <c r="G12" s="94"/>
    </row>
    <row r="13" spans="1:7">
      <c r="A13" s="97" t="s">
        <v>4710</v>
      </c>
      <c r="B13" s="93">
        <v>0</v>
      </c>
      <c r="C13" s="93">
        <v>1000</v>
      </c>
      <c r="D13" s="97" t="s">
        <v>315</v>
      </c>
      <c r="E13" s="94"/>
      <c r="F13" s="94"/>
      <c r="G13" s="94"/>
    </row>
    <row r="14" spans="1:7">
      <c r="A14" s="97" t="s">
        <v>4735</v>
      </c>
      <c r="B14" s="93">
        <v>0</v>
      </c>
      <c r="C14" s="93">
        <v>1000</v>
      </c>
      <c r="D14" s="97" t="s">
        <v>315</v>
      </c>
      <c r="E14" s="94"/>
      <c r="F14" s="94"/>
      <c r="G14" s="94"/>
    </row>
    <row r="15" spans="1:7">
      <c r="A15" s="97" t="s">
        <v>4721</v>
      </c>
      <c r="B15" s="93">
        <v>0</v>
      </c>
      <c r="C15" s="93">
        <v>1000</v>
      </c>
      <c r="D15" s="97" t="s">
        <v>315</v>
      </c>
      <c r="E15" s="94"/>
      <c r="F15" s="94"/>
      <c r="G15" s="94"/>
    </row>
    <row r="16" spans="1:7">
      <c r="A16" s="97" t="s">
        <v>959</v>
      </c>
      <c r="B16" s="93">
        <v>10200</v>
      </c>
      <c r="C16" s="93">
        <v>0</v>
      </c>
      <c r="D16" s="97" t="s">
        <v>4653</v>
      </c>
      <c r="E16" s="94"/>
      <c r="F16" s="94"/>
      <c r="G16" s="94"/>
    </row>
    <row r="17" spans="1:9">
      <c r="A17" s="97" t="s">
        <v>959</v>
      </c>
      <c r="B17" s="93">
        <v>0</v>
      </c>
      <c r="C17" s="93">
        <v>1500</v>
      </c>
      <c r="D17" s="97" t="s">
        <v>315</v>
      </c>
      <c r="E17" s="94"/>
      <c r="F17" s="94"/>
      <c r="G17" s="94"/>
    </row>
    <row r="18" spans="1:9">
      <c r="A18" s="97" t="s">
        <v>4740</v>
      </c>
      <c r="B18" s="93">
        <v>0</v>
      </c>
      <c r="C18" s="93">
        <v>1000</v>
      </c>
      <c r="D18" s="97" t="s">
        <v>315</v>
      </c>
      <c r="E18" s="94"/>
      <c r="F18" s="94"/>
      <c r="G18" s="94"/>
    </row>
    <row r="19" spans="1:9">
      <c r="A19" s="97" t="s">
        <v>4742</v>
      </c>
      <c r="B19" s="93">
        <v>0</v>
      </c>
      <c r="C19" s="93">
        <v>1000</v>
      </c>
      <c r="D19" s="97" t="s">
        <v>315</v>
      </c>
      <c r="E19" s="94"/>
      <c r="F19" s="94"/>
      <c r="G19" s="94"/>
    </row>
    <row r="20" spans="1:9">
      <c r="A20" s="97" t="s">
        <v>4744</v>
      </c>
      <c r="B20" s="93">
        <v>0</v>
      </c>
      <c r="C20" s="93">
        <v>1000</v>
      </c>
      <c r="D20" s="97" t="s">
        <v>315</v>
      </c>
      <c r="E20" s="94"/>
      <c r="F20" s="94"/>
      <c r="G20" s="94"/>
    </row>
    <row r="21" spans="1:9">
      <c r="A21" s="97" t="s">
        <v>4747</v>
      </c>
      <c r="B21" s="93">
        <v>0</v>
      </c>
      <c r="C21" s="93">
        <v>1000</v>
      </c>
      <c r="D21" s="97" t="s">
        <v>315</v>
      </c>
      <c r="E21" s="94"/>
      <c r="F21" s="94"/>
      <c r="G21" s="94"/>
    </row>
    <row r="22" spans="1:9">
      <c r="A22" s="97" t="s">
        <v>4747</v>
      </c>
      <c r="B22" s="93">
        <v>9600</v>
      </c>
      <c r="C22" s="93">
        <v>0</v>
      </c>
      <c r="D22" s="97" t="s">
        <v>4653</v>
      </c>
      <c r="E22" s="94"/>
      <c r="F22" s="94"/>
      <c r="G22" s="94"/>
      <c r="I22" t="s">
        <v>25</v>
      </c>
    </row>
    <row r="23" spans="1:9">
      <c r="A23" s="97" t="s">
        <v>4753</v>
      </c>
      <c r="B23" s="93">
        <v>0</v>
      </c>
      <c r="C23" s="93">
        <v>1000</v>
      </c>
      <c r="D23" s="97" t="s">
        <v>315</v>
      </c>
      <c r="E23" s="94"/>
      <c r="F23" s="94"/>
      <c r="G23" s="94"/>
    </row>
    <row r="24" spans="1:9">
      <c r="A24" s="97" t="s">
        <v>4758</v>
      </c>
      <c r="B24" s="93">
        <v>0</v>
      </c>
      <c r="C24" s="93">
        <v>1000</v>
      </c>
      <c r="D24" s="97" t="s">
        <v>315</v>
      </c>
      <c r="E24" s="94"/>
      <c r="F24" s="94"/>
      <c r="G24" s="94"/>
    </row>
    <row r="25" spans="1:9">
      <c r="A25" s="97" t="s">
        <v>4767</v>
      </c>
      <c r="B25" s="93">
        <v>0</v>
      </c>
      <c r="C25" s="93">
        <v>1000</v>
      </c>
      <c r="D25" s="97" t="s">
        <v>315</v>
      </c>
    </row>
    <row r="26" spans="1:9">
      <c r="A26" s="97" t="s">
        <v>4794</v>
      </c>
      <c r="B26" s="93">
        <v>0</v>
      </c>
      <c r="C26" s="93">
        <v>12000</v>
      </c>
      <c r="D26" s="97" t="s">
        <v>4801</v>
      </c>
    </row>
    <row r="27" spans="1:9">
      <c r="A27" s="97" t="s">
        <v>4795</v>
      </c>
      <c r="B27" s="93">
        <v>0</v>
      </c>
      <c r="C27" s="93">
        <v>1000</v>
      </c>
      <c r="D27" s="97" t="s">
        <v>315</v>
      </c>
    </row>
    <row r="28" spans="1:9">
      <c r="A28" s="97" t="s">
        <v>4802</v>
      </c>
      <c r="B28" s="93">
        <v>0</v>
      </c>
      <c r="C28" s="93">
        <v>1000</v>
      </c>
      <c r="D28" s="97" t="s">
        <v>315</v>
      </c>
    </row>
    <row r="29" spans="1:9">
      <c r="A29" s="97" t="s">
        <v>4803</v>
      </c>
      <c r="B29" s="93">
        <v>0</v>
      </c>
      <c r="C29" s="93">
        <v>1000</v>
      </c>
      <c r="D29" s="97" t="s">
        <v>315</v>
      </c>
    </row>
    <row r="30" spans="1:9">
      <c r="A30" s="97" t="s">
        <v>4804</v>
      </c>
      <c r="B30" s="93">
        <v>0</v>
      </c>
      <c r="C30" s="93">
        <v>5500</v>
      </c>
      <c r="D30" s="97" t="s">
        <v>4654</v>
      </c>
    </row>
    <row r="31" spans="1:9">
      <c r="A31" s="97" t="s">
        <v>4804</v>
      </c>
      <c r="B31" s="93">
        <v>11000</v>
      </c>
      <c r="C31" s="93">
        <v>0</v>
      </c>
      <c r="D31" s="97" t="s">
        <v>4653</v>
      </c>
    </row>
    <row r="32" spans="1:9">
      <c r="A32" s="97" t="s">
        <v>4812</v>
      </c>
      <c r="B32" s="93">
        <v>0</v>
      </c>
      <c r="C32" s="93">
        <v>1000</v>
      </c>
      <c r="D32" s="97" t="s">
        <v>315</v>
      </c>
      <c r="H32" t="s">
        <v>25</v>
      </c>
    </row>
    <row r="33" spans="1:10">
      <c r="A33" s="97" t="s">
        <v>4813</v>
      </c>
      <c r="B33" s="93">
        <v>0</v>
      </c>
      <c r="C33" s="93">
        <v>1000</v>
      </c>
      <c r="D33" s="97" t="s">
        <v>315</v>
      </c>
      <c r="H33" t="s">
        <v>25</v>
      </c>
    </row>
    <row r="34" spans="1:10">
      <c r="A34" s="97" t="s">
        <v>4815</v>
      </c>
      <c r="B34" s="93">
        <v>0</v>
      </c>
      <c r="C34" s="93">
        <v>1000</v>
      </c>
      <c r="D34" s="97" t="s">
        <v>315</v>
      </c>
    </row>
    <row r="35" spans="1:10">
      <c r="A35" s="97" t="s">
        <v>4816</v>
      </c>
      <c r="B35" s="93">
        <v>0</v>
      </c>
      <c r="C35" s="93">
        <v>1000</v>
      </c>
      <c r="D35" s="97" t="s">
        <v>315</v>
      </c>
      <c r="J35" t="s">
        <v>25</v>
      </c>
    </row>
    <row r="36" spans="1:10">
      <c r="A36" s="97" t="s">
        <v>4821</v>
      </c>
      <c r="B36" s="93">
        <v>1000</v>
      </c>
      <c r="C36" s="93">
        <v>0</v>
      </c>
      <c r="D36" s="97" t="s">
        <v>315</v>
      </c>
    </row>
    <row r="37" spans="1:10">
      <c r="A37" s="97" t="s">
        <v>4821</v>
      </c>
      <c r="B37" s="93">
        <v>0</v>
      </c>
      <c r="C37" s="93">
        <v>11200</v>
      </c>
      <c r="D37" s="97" t="s">
        <v>4653</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4672</v>
      </c>
      <c r="B48" s="219">
        <v>6700</v>
      </c>
      <c r="C48" s="219">
        <v>0</v>
      </c>
      <c r="D48" s="23" t="s">
        <v>4675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5296</v>
      </c>
      <c r="E1" s="97"/>
      <c r="F1" s="97"/>
      <c r="G1" s="97"/>
      <c r="H1" s="97"/>
      <c r="I1" s="97"/>
    </row>
    <row r="2" spans="1:15">
      <c r="A2" s="97">
        <v>1</v>
      </c>
      <c r="B2" s="97" t="s">
        <v>5206</v>
      </c>
      <c r="C2" s="93">
        <v>28500</v>
      </c>
      <c r="D2" s="97" t="s">
        <v>5299</v>
      </c>
      <c r="E2" s="97"/>
      <c r="F2" s="97"/>
      <c r="G2" s="97"/>
      <c r="H2" s="97"/>
      <c r="I2" s="97"/>
    </row>
    <row r="3" spans="1:15">
      <c r="A3" s="97">
        <v>2</v>
      </c>
      <c r="B3" s="97" t="s">
        <v>5233</v>
      </c>
      <c r="C3" s="93">
        <v>180200</v>
      </c>
      <c r="D3" s="97" t="s">
        <v>5298</v>
      </c>
      <c r="E3" s="97"/>
      <c r="F3" s="97"/>
      <c r="G3" s="97"/>
      <c r="H3" s="97"/>
      <c r="I3" s="97"/>
    </row>
    <row r="4" spans="1:15">
      <c r="A4" s="97">
        <v>3</v>
      </c>
      <c r="B4" s="97" t="s">
        <v>5292</v>
      </c>
      <c r="C4" s="93">
        <v>187000</v>
      </c>
      <c r="D4" s="97" t="s">
        <v>5297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10" t="s">
        <v>5982</v>
      </c>
      <c r="B1" s="210" t="s">
        <v>4422</v>
      </c>
      <c r="C1" s="210" t="s">
        <v>6502</v>
      </c>
      <c r="D1" s="210" t="s">
        <v>5981</v>
      </c>
      <c r="E1" s="210" t="s">
        <v>4844</v>
      </c>
      <c r="F1" s="210" t="s">
        <v>5984</v>
      </c>
      <c r="G1" s="210" t="s">
        <v>5986</v>
      </c>
      <c r="H1" s="210"/>
      <c r="I1" s="210"/>
      <c r="J1" s="210"/>
      <c r="K1" s="210"/>
      <c r="L1" s="210" t="s">
        <v>6503</v>
      </c>
      <c r="M1" s="210">
        <v>10000000000</v>
      </c>
      <c r="N1" s="210"/>
      <c r="O1" s="210"/>
      <c r="P1" s="210"/>
      <c r="Q1" s="210"/>
      <c r="R1" s="210"/>
      <c r="S1" s="210"/>
      <c r="T1" s="210"/>
      <c r="U1" s="210"/>
      <c r="V1" s="210"/>
      <c r="W1" s="210"/>
      <c r="X1" s="210"/>
      <c r="Y1" s="210"/>
      <c r="Z1" s="210"/>
      <c r="AA1" s="210"/>
      <c r="AB1" s="210"/>
      <c r="AC1" s="210"/>
    </row>
    <row r="2" spans="1:29">
      <c r="A2" s="210" t="s">
        <v>6001</v>
      </c>
      <c r="B2" s="210">
        <v>52293239</v>
      </c>
      <c r="C2" s="210">
        <f t="shared" ref="C2:C33" si="0">D2+E2</f>
        <v>2605542578</v>
      </c>
      <c r="D2" s="210" t="s">
        <v>6002</v>
      </c>
      <c r="E2" s="210" t="s">
        <v>6003</v>
      </c>
      <c r="F2" s="210" t="s">
        <v>6004</v>
      </c>
      <c r="G2" s="210" t="s">
        <v>6005</v>
      </c>
      <c r="H2" s="210">
        <v>110</v>
      </c>
      <c r="I2" s="93">
        <f>C2*H2</f>
        <v>286609683580</v>
      </c>
      <c r="J2" s="210">
        <f>I2/$M$1</f>
        <v>28.660968358000002</v>
      </c>
      <c r="L2" s="210"/>
      <c r="M2" s="210"/>
      <c r="N2" s="210"/>
      <c r="O2" s="210"/>
      <c r="P2" s="210"/>
      <c r="Q2" s="210"/>
      <c r="R2" s="210"/>
      <c r="S2" s="210"/>
      <c r="T2" s="210"/>
      <c r="U2" s="210"/>
      <c r="V2" s="210"/>
      <c r="W2" s="210"/>
      <c r="X2" s="210"/>
      <c r="Y2" s="210"/>
      <c r="Z2" s="210"/>
      <c r="AA2" s="210"/>
      <c r="AB2" s="210"/>
      <c r="AC2" s="210"/>
    </row>
    <row r="3" spans="1:29">
      <c r="A3" s="210" t="s">
        <v>5988</v>
      </c>
      <c r="B3" s="340">
        <v>39356047</v>
      </c>
      <c r="C3" s="210">
        <f t="shared" si="0"/>
        <v>3355161798</v>
      </c>
      <c r="D3" s="210" t="s">
        <v>5990</v>
      </c>
      <c r="E3" s="210" t="s">
        <v>5991</v>
      </c>
      <c r="F3" s="210" t="s">
        <v>5993</v>
      </c>
      <c r="G3" s="210" t="s">
        <v>5994</v>
      </c>
      <c r="H3" s="93">
        <v>170</v>
      </c>
      <c r="I3" s="93">
        <f>C3*H3</f>
        <v>570377505660</v>
      </c>
      <c r="J3" s="210">
        <f>I3/$M$1</f>
        <v>57.037750566</v>
      </c>
      <c r="K3" s="210"/>
      <c r="L3" s="210"/>
      <c r="M3" s="210"/>
      <c r="N3" s="210"/>
      <c r="O3" s="210"/>
      <c r="P3" s="210"/>
      <c r="Q3" s="210"/>
      <c r="R3" s="210"/>
      <c r="S3" s="210"/>
      <c r="T3" s="210"/>
      <c r="U3" s="210"/>
      <c r="V3" s="210"/>
      <c r="W3" s="210"/>
      <c r="X3" s="210"/>
      <c r="Y3" s="210"/>
      <c r="Z3" s="210"/>
      <c r="AA3" s="210"/>
      <c r="AB3" s="210"/>
      <c r="AC3" s="210"/>
    </row>
    <row r="4" spans="1:29">
      <c r="A4" s="179" t="s">
        <v>6028</v>
      </c>
      <c r="B4" s="340">
        <v>27272507</v>
      </c>
      <c r="C4" s="210">
        <f t="shared" si="0"/>
        <v>2003857980</v>
      </c>
      <c r="D4" s="210" t="s">
        <v>6002</v>
      </c>
      <c r="E4" s="179" t="s">
        <v>6029</v>
      </c>
      <c r="F4" s="210" t="s">
        <v>6030</v>
      </c>
      <c r="G4" s="210" t="s">
        <v>6031</v>
      </c>
      <c r="H4" s="210">
        <v>120</v>
      </c>
      <c r="I4" s="93">
        <f t="shared" ref="I4:I18" si="1">C4*H4</f>
        <v>240462957600</v>
      </c>
      <c r="J4" s="210">
        <f t="shared" ref="J4:J33" si="2">I4/$M$1</f>
        <v>24.04629576</v>
      </c>
      <c r="K4" s="210"/>
      <c r="L4" s="210"/>
      <c r="M4" s="210"/>
      <c r="N4" s="210"/>
      <c r="O4" s="210"/>
      <c r="P4" s="210"/>
      <c r="Q4" s="210"/>
      <c r="R4" s="210"/>
      <c r="S4" s="210"/>
      <c r="T4" s="210"/>
      <c r="U4" s="210"/>
      <c r="V4" s="210"/>
      <c r="W4" s="210"/>
      <c r="X4" s="210"/>
      <c r="Y4" s="210"/>
      <c r="Z4" s="210"/>
      <c r="AA4" s="210"/>
      <c r="AB4" s="210"/>
      <c r="AC4" s="210"/>
    </row>
    <row r="5" spans="1:29">
      <c r="A5" s="210" t="s">
        <v>6032</v>
      </c>
      <c r="B5" s="340">
        <v>17936330</v>
      </c>
      <c r="C5" s="210">
        <f t="shared" si="0"/>
        <v>4161561525</v>
      </c>
      <c r="D5" s="210" t="s">
        <v>6002</v>
      </c>
      <c r="E5" s="210" t="s">
        <v>6033</v>
      </c>
      <c r="F5" s="210" t="s">
        <v>6034</v>
      </c>
      <c r="G5" s="210" t="s">
        <v>6035</v>
      </c>
      <c r="H5" s="210">
        <v>20</v>
      </c>
      <c r="I5" s="93">
        <f t="shared" si="1"/>
        <v>83231230500</v>
      </c>
      <c r="J5" s="210">
        <f t="shared" si="2"/>
        <v>8.3231230499999995</v>
      </c>
      <c r="K5" s="210"/>
      <c r="L5" s="210"/>
      <c r="M5" s="210"/>
      <c r="N5" s="210"/>
      <c r="O5" s="210"/>
      <c r="P5" s="210"/>
      <c r="Q5" s="210"/>
      <c r="R5" s="210"/>
      <c r="S5" s="210"/>
      <c r="T5" s="210"/>
      <c r="U5" s="210"/>
      <c r="V5" s="210"/>
      <c r="W5" s="210"/>
      <c r="X5" s="210"/>
      <c r="Y5" s="210"/>
      <c r="Z5" s="210"/>
      <c r="AA5" s="210"/>
      <c r="AB5" s="210"/>
      <c r="AC5" s="210"/>
    </row>
    <row r="6" spans="1:29">
      <c r="A6" s="210" t="s">
        <v>6012</v>
      </c>
      <c r="B6" s="340">
        <v>15219631</v>
      </c>
      <c r="C6" s="210">
        <f t="shared" si="0"/>
        <v>1037466348</v>
      </c>
      <c r="D6" s="210" t="s">
        <v>6014</v>
      </c>
      <c r="E6" s="210" t="s">
        <v>6015</v>
      </c>
      <c r="F6" s="179" t="s">
        <v>6016</v>
      </c>
      <c r="G6" s="210" t="s">
        <v>6017</v>
      </c>
      <c r="H6" s="210">
        <v>160</v>
      </c>
      <c r="I6" s="93">
        <f t="shared" si="1"/>
        <v>165994615680</v>
      </c>
      <c r="J6" s="210">
        <f t="shared" si="2"/>
        <v>16.599461567999999</v>
      </c>
      <c r="K6" s="210"/>
      <c r="L6" s="210"/>
      <c r="M6" s="210" t="s">
        <v>25</v>
      </c>
      <c r="N6" s="210"/>
      <c r="O6" s="210"/>
      <c r="P6" s="210"/>
      <c r="Q6" s="210"/>
      <c r="R6" s="210"/>
      <c r="S6" s="210"/>
      <c r="T6" s="210"/>
      <c r="U6" s="210"/>
      <c r="V6" s="210"/>
      <c r="W6" s="210"/>
      <c r="X6" s="210"/>
      <c r="Y6" s="210"/>
      <c r="Z6" s="210"/>
      <c r="AA6" s="210"/>
      <c r="AB6" s="210"/>
      <c r="AC6" s="210"/>
    </row>
    <row r="7" spans="1:29">
      <c r="A7" s="210" t="s">
        <v>6062</v>
      </c>
      <c r="B7" s="340">
        <v>12077909</v>
      </c>
      <c r="C7" s="210">
        <f t="shared" si="0"/>
        <v>499499998</v>
      </c>
      <c r="D7" s="210" t="s">
        <v>6002</v>
      </c>
      <c r="E7" s="210" t="s">
        <v>6063</v>
      </c>
      <c r="F7" s="210" t="s">
        <v>6064</v>
      </c>
      <c r="G7" s="210" t="s">
        <v>6065</v>
      </c>
      <c r="H7" s="210">
        <v>180</v>
      </c>
      <c r="I7" s="93">
        <f t="shared" si="1"/>
        <v>89909999640</v>
      </c>
      <c r="J7" s="210">
        <f t="shared" si="2"/>
        <v>8.9909999640000002</v>
      </c>
      <c r="K7" s="210"/>
      <c r="L7" s="210"/>
      <c r="M7" s="210"/>
      <c r="N7" s="210"/>
      <c r="O7" s="210"/>
      <c r="P7" s="210"/>
      <c r="Q7" s="210"/>
      <c r="R7" s="210"/>
      <c r="S7" s="210"/>
      <c r="T7" s="210"/>
      <c r="U7" s="210"/>
      <c r="V7" s="210"/>
      <c r="W7" s="210"/>
      <c r="X7" s="210"/>
      <c r="Y7" s="210"/>
      <c r="Z7" s="210"/>
      <c r="AA7" s="210"/>
      <c r="AB7" s="210"/>
      <c r="AC7" s="210"/>
    </row>
    <row r="8" spans="1:29">
      <c r="A8" s="210" t="s">
        <v>6095</v>
      </c>
      <c r="B8" s="340">
        <v>11039958</v>
      </c>
      <c r="C8" s="210">
        <f t="shared" si="0"/>
        <v>2802020000</v>
      </c>
      <c r="D8" s="210" t="s">
        <v>6002</v>
      </c>
      <c r="E8" s="210" t="s">
        <v>6096</v>
      </c>
      <c r="F8" s="210" t="s">
        <v>6097</v>
      </c>
      <c r="G8" s="210" t="s">
        <v>6098</v>
      </c>
      <c r="H8" s="210">
        <v>40</v>
      </c>
      <c r="I8" s="93">
        <f t="shared" si="1"/>
        <v>112080800000</v>
      </c>
      <c r="J8" s="210">
        <f t="shared" si="2"/>
        <v>11.208080000000001</v>
      </c>
      <c r="K8" s="210"/>
      <c r="L8" s="210"/>
      <c r="M8" s="210"/>
      <c r="N8" s="210"/>
      <c r="O8" s="210"/>
      <c r="P8" s="210"/>
      <c r="Q8" s="210"/>
      <c r="R8" s="210"/>
      <c r="S8" s="210"/>
      <c r="T8" s="210"/>
      <c r="U8" s="210"/>
      <c r="V8" s="210"/>
      <c r="W8" s="210"/>
      <c r="X8" s="210"/>
      <c r="Y8" s="210"/>
      <c r="Z8" s="210"/>
      <c r="AA8" s="210"/>
      <c r="AB8" s="210"/>
      <c r="AC8" s="210"/>
    </row>
    <row r="9" spans="1:29">
      <c r="A9" s="210" t="s">
        <v>6052</v>
      </c>
      <c r="B9" s="340">
        <v>6743250</v>
      </c>
      <c r="C9" s="210">
        <f t="shared" si="0"/>
        <v>337500000</v>
      </c>
      <c r="D9" s="210" t="s">
        <v>6002</v>
      </c>
      <c r="E9" s="210" t="s">
        <v>6054</v>
      </c>
      <c r="F9" s="210" t="s">
        <v>6055</v>
      </c>
      <c r="G9" s="210" t="s">
        <v>6056</v>
      </c>
      <c r="H9" s="210">
        <v>100</v>
      </c>
      <c r="I9" s="93">
        <f t="shared" si="1"/>
        <v>33750000000</v>
      </c>
      <c r="J9" s="210">
        <f t="shared" si="2"/>
        <v>3.375</v>
      </c>
      <c r="K9" s="210"/>
      <c r="L9" s="210"/>
      <c r="M9" s="210"/>
      <c r="N9" s="210"/>
      <c r="O9" s="210"/>
      <c r="P9" s="210"/>
      <c r="Q9" s="210"/>
      <c r="R9" s="210"/>
      <c r="S9" s="210"/>
      <c r="T9" s="210"/>
      <c r="U9" s="210"/>
      <c r="V9" s="210"/>
      <c r="W9" s="210"/>
      <c r="X9" s="210"/>
      <c r="Y9" s="210"/>
      <c r="Z9" s="210"/>
      <c r="AA9" s="210"/>
      <c r="AB9" s="210"/>
      <c r="AC9" s="210"/>
    </row>
    <row r="10" spans="1:29">
      <c r="A10" s="210" t="s">
        <v>6086</v>
      </c>
      <c r="B10" s="340">
        <v>6591899</v>
      </c>
      <c r="C10" s="210">
        <f t="shared" si="0"/>
        <v>978026662</v>
      </c>
      <c r="D10" s="210" t="s">
        <v>6002</v>
      </c>
      <c r="E10" s="210" t="s">
        <v>6087</v>
      </c>
      <c r="F10" s="210" t="s">
        <v>6088</v>
      </c>
      <c r="G10" s="210" t="s">
        <v>6089</v>
      </c>
      <c r="H10" s="210">
        <v>60</v>
      </c>
      <c r="I10" s="93">
        <f t="shared" si="1"/>
        <v>58681599720</v>
      </c>
      <c r="J10" s="210">
        <f t="shared" si="2"/>
        <v>5.8681599719999999</v>
      </c>
      <c r="K10" s="210"/>
      <c r="L10" s="210"/>
      <c r="M10" s="210"/>
      <c r="N10" s="210"/>
      <c r="O10" s="210"/>
      <c r="P10" s="210"/>
      <c r="Q10" s="210"/>
      <c r="R10" s="210"/>
      <c r="S10" s="210"/>
      <c r="T10" s="210"/>
      <c r="U10" s="210"/>
      <c r="V10" s="210"/>
      <c r="W10" s="210"/>
      <c r="X10" s="210"/>
      <c r="Y10" s="210"/>
      <c r="Z10" s="210"/>
      <c r="AA10" s="210"/>
      <c r="AB10" s="210"/>
      <c r="AC10" s="210"/>
    </row>
    <row r="11" spans="1:29">
      <c r="A11" s="210" t="s">
        <v>5995</v>
      </c>
      <c r="B11" s="340">
        <v>6515494</v>
      </c>
      <c r="C11" s="210">
        <f t="shared" si="0"/>
        <v>137024073</v>
      </c>
      <c r="D11" s="210" t="s">
        <v>5997</v>
      </c>
      <c r="E11" s="210" t="s">
        <v>5998</v>
      </c>
      <c r="F11" s="210" t="s">
        <v>5999</v>
      </c>
      <c r="G11" s="210" t="s">
        <v>6000</v>
      </c>
      <c r="H11" s="210">
        <v>200</v>
      </c>
      <c r="I11" s="93">
        <f t="shared" si="1"/>
        <v>27404814600</v>
      </c>
      <c r="J11" s="210">
        <f t="shared" si="2"/>
        <v>2.7404814599999998</v>
      </c>
      <c r="K11" s="210"/>
      <c r="M11" s="210"/>
      <c r="N11" s="210"/>
      <c r="O11" s="210"/>
      <c r="P11" s="210"/>
      <c r="Q11" s="210"/>
      <c r="R11" s="210"/>
      <c r="S11" s="210"/>
      <c r="T11" s="210"/>
      <c r="U11" s="210"/>
      <c r="V11" s="210"/>
      <c r="W11" s="210"/>
      <c r="X11" s="210"/>
      <c r="Y11" s="210"/>
      <c r="Z11" s="210"/>
      <c r="AA11" s="210"/>
      <c r="AB11" s="210"/>
      <c r="AC11" s="210"/>
    </row>
    <row r="12" spans="1:29">
      <c r="A12" s="210" t="s">
        <v>6006</v>
      </c>
      <c r="B12" s="340">
        <v>5962560</v>
      </c>
      <c r="C12" s="210">
        <f t="shared" si="0"/>
        <v>1242200000</v>
      </c>
      <c r="D12" s="210" t="s">
        <v>6008</v>
      </c>
      <c r="E12" s="210" t="s">
        <v>6009</v>
      </c>
      <c r="F12" s="210" t="s">
        <v>6010</v>
      </c>
      <c r="G12" s="210" t="s">
        <v>6011</v>
      </c>
      <c r="H12" s="210">
        <v>10</v>
      </c>
      <c r="I12" s="93">
        <f t="shared" si="1"/>
        <v>12422000000</v>
      </c>
      <c r="J12" s="210">
        <f t="shared" si="2"/>
        <v>1.2422</v>
      </c>
      <c r="K12" s="210"/>
      <c r="L12" s="210"/>
      <c r="M12" s="210"/>
      <c r="N12" s="210"/>
      <c r="O12" s="210"/>
      <c r="P12" s="210"/>
      <c r="Q12" s="210"/>
      <c r="R12" s="210"/>
      <c r="S12" s="210"/>
      <c r="T12" s="210"/>
      <c r="U12" s="210"/>
      <c r="V12" s="210"/>
      <c r="W12" s="210"/>
      <c r="X12" s="210"/>
      <c r="Y12" s="210"/>
      <c r="Z12" s="210"/>
      <c r="AA12" s="210"/>
      <c r="AB12" s="210"/>
      <c r="AC12" s="210"/>
    </row>
    <row r="13" spans="1:29">
      <c r="A13" s="210" t="s">
        <v>6131</v>
      </c>
      <c r="B13" s="340">
        <v>4690527</v>
      </c>
      <c r="C13" s="210">
        <f t="shared" si="0"/>
        <v>623740333</v>
      </c>
      <c r="D13" s="210" t="s">
        <v>6002</v>
      </c>
      <c r="E13" s="210" t="s">
        <v>6132</v>
      </c>
      <c r="F13" s="210" t="s">
        <v>6133</v>
      </c>
      <c r="G13" s="210" t="s">
        <v>6134</v>
      </c>
      <c r="H13" s="210">
        <v>50</v>
      </c>
      <c r="I13" s="93">
        <f t="shared" si="1"/>
        <v>31187016650</v>
      </c>
      <c r="J13" s="210">
        <f t="shared" si="2"/>
        <v>3.1187016650000001</v>
      </c>
      <c r="K13" s="210"/>
      <c r="L13" s="210"/>
      <c r="M13" s="210"/>
      <c r="N13" s="210"/>
      <c r="O13" s="210"/>
      <c r="P13" s="210"/>
      <c r="Q13" s="210"/>
      <c r="R13" s="210"/>
      <c r="S13" s="210"/>
      <c r="T13" s="210"/>
      <c r="U13" s="210"/>
      <c r="V13" s="210"/>
      <c r="W13" s="210"/>
      <c r="X13" s="210"/>
      <c r="Y13" s="210"/>
      <c r="Z13" s="210"/>
      <c r="AA13" s="210"/>
      <c r="AB13" s="210"/>
      <c r="AC13" s="210"/>
    </row>
    <row r="14" spans="1:29">
      <c r="A14" s="210" t="s">
        <v>6127</v>
      </c>
      <c r="B14" s="340">
        <v>4423541</v>
      </c>
      <c r="C14" s="210">
        <f t="shared" si="0"/>
        <v>118276522</v>
      </c>
      <c r="D14" s="210" t="s">
        <v>6002</v>
      </c>
      <c r="E14" s="210" t="s">
        <v>6128</v>
      </c>
      <c r="F14" s="210" t="s">
        <v>6129</v>
      </c>
      <c r="G14" s="210" t="s">
        <v>6130</v>
      </c>
      <c r="H14" s="210">
        <v>200</v>
      </c>
      <c r="I14" s="93">
        <f t="shared" si="1"/>
        <v>23655304400</v>
      </c>
      <c r="J14" s="210">
        <f t="shared" si="2"/>
        <v>2.3655304400000001</v>
      </c>
      <c r="K14" s="210"/>
      <c r="L14" s="210"/>
      <c r="M14" s="210"/>
      <c r="N14" s="210"/>
      <c r="O14" s="210"/>
      <c r="P14" s="210"/>
      <c r="Q14" s="210"/>
      <c r="R14" s="210"/>
      <c r="S14" s="210"/>
      <c r="T14" s="210"/>
      <c r="U14" s="210"/>
      <c r="V14" s="210"/>
      <c r="W14" s="210"/>
      <c r="X14" s="210"/>
      <c r="Y14" s="210"/>
      <c r="Z14" s="210"/>
      <c r="AA14" s="210"/>
      <c r="AB14" s="210"/>
      <c r="AC14" s="210"/>
    </row>
    <row r="15" spans="1:29">
      <c r="A15" s="210" t="s">
        <v>6324</v>
      </c>
      <c r="B15" s="340">
        <v>4228226</v>
      </c>
      <c r="C15" s="210">
        <f t="shared" si="0"/>
        <v>106322321</v>
      </c>
      <c r="D15" s="210" t="s">
        <v>6002</v>
      </c>
      <c r="E15" s="210" t="s">
        <v>6325</v>
      </c>
      <c r="F15" s="210" t="s">
        <v>6002</v>
      </c>
      <c r="G15" s="210" t="s">
        <v>6326</v>
      </c>
      <c r="H15" s="210">
        <v>300</v>
      </c>
      <c r="I15" s="93">
        <f t="shared" si="1"/>
        <v>31896696300</v>
      </c>
      <c r="J15" s="210">
        <f t="shared" si="2"/>
        <v>3.18966963</v>
      </c>
      <c r="K15" s="210"/>
      <c r="L15" s="210"/>
      <c r="M15" s="210"/>
      <c r="N15" s="210"/>
      <c r="O15" s="210"/>
      <c r="P15" s="210"/>
      <c r="Q15" s="210"/>
      <c r="R15" s="210"/>
      <c r="S15" s="210"/>
      <c r="T15" s="210"/>
      <c r="U15" s="210"/>
      <c r="V15" s="210"/>
      <c r="W15" s="210"/>
      <c r="X15" s="210"/>
      <c r="Y15" s="210"/>
      <c r="Z15" s="210"/>
      <c r="AA15" s="210"/>
      <c r="AB15" s="210"/>
      <c r="AC15" s="210"/>
    </row>
    <row r="16" spans="1:29">
      <c r="A16" s="210" t="s">
        <v>6140</v>
      </c>
      <c r="B16" s="340">
        <v>3555770</v>
      </c>
      <c r="C16" s="210">
        <f t="shared" si="0"/>
        <v>183381668</v>
      </c>
      <c r="D16" s="210" t="s">
        <v>6002</v>
      </c>
      <c r="E16" s="210" t="s">
        <v>6141</v>
      </c>
      <c r="F16" s="210" t="s">
        <v>6142</v>
      </c>
      <c r="G16" s="210" t="s">
        <v>6143</v>
      </c>
      <c r="H16" s="210">
        <v>200</v>
      </c>
      <c r="I16" s="93">
        <f t="shared" si="1"/>
        <v>36676333600</v>
      </c>
      <c r="J16" s="210">
        <f t="shared" si="2"/>
        <v>3.66763336</v>
      </c>
      <c r="K16" s="210"/>
      <c r="L16" s="210"/>
      <c r="M16" s="210"/>
      <c r="N16" s="210"/>
      <c r="O16" s="210"/>
      <c r="P16" s="210"/>
      <c r="Q16" s="210"/>
      <c r="R16" s="210"/>
      <c r="S16" s="210"/>
      <c r="T16" s="210"/>
      <c r="U16" s="210"/>
      <c r="V16" s="210"/>
      <c r="W16" s="210"/>
      <c r="X16" s="210"/>
      <c r="Y16" s="210"/>
      <c r="Z16" s="210"/>
      <c r="AA16" s="210"/>
      <c r="AB16" s="210"/>
      <c r="AC16" s="210"/>
    </row>
    <row r="17" spans="1:29">
      <c r="A17" s="210" t="s">
        <v>6113</v>
      </c>
      <c r="B17" s="340">
        <v>3392316</v>
      </c>
      <c r="C17" s="210">
        <f t="shared" si="0"/>
        <v>1015663732</v>
      </c>
      <c r="D17" s="210" t="s">
        <v>6002</v>
      </c>
      <c r="E17" s="210" t="s">
        <v>6114</v>
      </c>
      <c r="F17" s="210" t="s">
        <v>6115</v>
      </c>
      <c r="G17" s="210" t="s">
        <v>6116</v>
      </c>
      <c r="H17" s="210">
        <v>30</v>
      </c>
      <c r="I17" s="93">
        <f t="shared" si="1"/>
        <v>30469911960</v>
      </c>
      <c r="J17" s="210">
        <f t="shared" si="2"/>
        <v>3.046991196</v>
      </c>
      <c r="K17" s="210"/>
      <c r="L17" s="210"/>
      <c r="M17" s="210"/>
      <c r="N17" s="210"/>
      <c r="O17" s="210"/>
      <c r="P17" s="210"/>
      <c r="Q17" s="210"/>
      <c r="R17" s="210"/>
      <c r="S17" s="210"/>
      <c r="T17" s="210"/>
      <c r="U17" s="210"/>
      <c r="V17" s="210"/>
      <c r="W17" s="210"/>
      <c r="X17" s="210"/>
      <c r="Y17" s="210"/>
      <c r="Z17" s="210"/>
      <c r="AA17" s="210"/>
      <c r="AB17" s="210"/>
      <c r="AC17" s="210"/>
    </row>
    <row r="18" spans="1:29">
      <c r="A18" s="210" t="s">
        <v>6036</v>
      </c>
      <c r="B18" s="340">
        <v>3321096</v>
      </c>
      <c r="C18" s="210">
        <f t="shared" si="0"/>
        <v>254880755</v>
      </c>
      <c r="D18" s="210" t="s">
        <v>6002</v>
      </c>
      <c r="E18" s="210" t="s">
        <v>6037</v>
      </c>
      <c r="F18" s="210" t="s">
        <v>6038</v>
      </c>
      <c r="G18" s="210" t="s">
        <v>6039</v>
      </c>
      <c r="H18" s="210">
        <v>100</v>
      </c>
      <c r="I18" s="93">
        <f t="shared" si="1"/>
        <v>25488075500</v>
      </c>
      <c r="J18" s="210">
        <f t="shared" si="2"/>
        <v>2.5488075499999998</v>
      </c>
      <c r="K18" s="210"/>
      <c r="L18" s="210"/>
      <c r="M18" s="210"/>
      <c r="N18" s="210" t="s">
        <v>25</v>
      </c>
      <c r="O18" s="210"/>
      <c r="P18" s="210"/>
      <c r="Q18" s="210"/>
      <c r="R18" s="210"/>
      <c r="S18" s="210"/>
      <c r="T18" s="210"/>
      <c r="U18" s="210"/>
      <c r="V18" s="210"/>
      <c r="W18" s="210"/>
      <c r="X18" s="210"/>
      <c r="Y18" s="210"/>
      <c r="Z18" s="210"/>
      <c r="AA18" s="210"/>
      <c r="AB18" s="210"/>
      <c r="AC18" s="210"/>
    </row>
    <row r="19" spans="1:29">
      <c r="A19" s="210" t="s">
        <v>6082</v>
      </c>
      <c r="B19" s="340">
        <v>2708729</v>
      </c>
      <c r="C19" s="210">
        <f t="shared" si="0"/>
        <v>158220192</v>
      </c>
      <c r="D19" s="210" t="s">
        <v>6002</v>
      </c>
      <c r="E19" s="210" t="s">
        <v>6083</v>
      </c>
      <c r="F19" s="210" t="s">
        <v>6084</v>
      </c>
      <c r="G19" s="210" t="s">
        <v>6085</v>
      </c>
      <c r="H19" s="210">
        <v>150</v>
      </c>
      <c r="I19" s="93">
        <f t="shared" ref="I19:I33" si="3">C19*H19</f>
        <v>23733028800</v>
      </c>
      <c r="J19" s="210">
        <f t="shared" si="2"/>
        <v>2.3733028799999998</v>
      </c>
      <c r="K19" s="210"/>
      <c r="L19" s="210"/>
      <c r="M19" s="210"/>
      <c r="N19" s="210"/>
      <c r="O19" s="210"/>
      <c r="P19" s="210"/>
      <c r="Q19" s="210"/>
      <c r="R19" s="210"/>
      <c r="S19" s="210"/>
      <c r="T19" s="210"/>
      <c r="U19" s="210"/>
      <c r="V19" s="210"/>
      <c r="W19" s="210"/>
      <c r="X19" s="210"/>
      <c r="Y19" s="210"/>
      <c r="Z19" s="210"/>
      <c r="AA19" s="210"/>
      <c r="AB19" s="210"/>
      <c r="AC19" s="210"/>
    </row>
    <row r="20" spans="1:29">
      <c r="A20" s="210" t="s">
        <v>6024</v>
      </c>
      <c r="B20" s="340">
        <v>2623529</v>
      </c>
      <c r="C20" s="210">
        <f t="shared" si="0"/>
        <v>101805550</v>
      </c>
      <c r="D20" s="210" t="s">
        <v>6002</v>
      </c>
      <c r="E20" s="210" t="s">
        <v>6025</v>
      </c>
      <c r="F20" s="210" t="s">
        <v>6026</v>
      </c>
      <c r="G20" s="210" t="s">
        <v>6027</v>
      </c>
      <c r="H20" s="210">
        <v>250</v>
      </c>
      <c r="I20" s="93">
        <f t="shared" si="3"/>
        <v>25451387500</v>
      </c>
      <c r="J20" s="210">
        <f t="shared" si="2"/>
        <v>2.54513875</v>
      </c>
      <c r="K20" s="210"/>
      <c r="L20" s="210"/>
      <c r="M20" s="210"/>
      <c r="N20" s="210"/>
      <c r="O20" s="210"/>
      <c r="P20" s="210"/>
      <c r="Q20" s="210"/>
      <c r="R20" s="210"/>
      <c r="S20" s="210"/>
      <c r="T20" s="210"/>
      <c r="U20" s="210"/>
      <c r="V20" s="210"/>
      <c r="W20" s="210"/>
      <c r="X20" s="210"/>
      <c r="Y20" s="210"/>
      <c r="Z20" s="210"/>
      <c r="AA20" s="210"/>
      <c r="AB20" s="210"/>
      <c r="AC20" s="210"/>
    </row>
    <row r="21" spans="1:29">
      <c r="A21" s="210" t="s">
        <v>6018</v>
      </c>
      <c r="B21" s="340">
        <v>2224069</v>
      </c>
      <c r="C21" s="210">
        <f t="shared" si="0"/>
        <v>30270982</v>
      </c>
      <c r="D21" s="210" t="s">
        <v>6020</v>
      </c>
      <c r="E21" s="210" t="s">
        <v>6021</v>
      </c>
      <c r="F21" s="210" t="s">
        <v>6022</v>
      </c>
      <c r="G21" s="210" t="s">
        <v>6023</v>
      </c>
      <c r="H21" s="210">
        <v>300</v>
      </c>
      <c r="I21" s="93">
        <f t="shared" si="3"/>
        <v>9081294600</v>
      </c>
      <c r="J21" s="210">
        <f t="shared" si="2"/>
        <v>0.90812946000000005</v>
      </c>
      <c r="K21" s="210"/>
      <c r="L21" s="210"/>
      <c r="M21" s="210"/>
      <c r="N21" s="210"/>
      <c r="O21" s="210"/>
      <c r="P21" s="210"/>
      <c r="Q21" s="210"/>
      <c r="R21" s="210"/>
      <c r="S21" s="210"/>
      <c r="T21" s="210"/>
      <c r="U21" s="210"/>
      <c r="V21" s="210"/>
      <c r="W21" s="210"/>
      <c r="X21" s="210"/>
      <c r="Y21" s="210"/>
      <c r="Z21" s="210"/>
      <c r="AA21" s="210"/>
      <c r="AB21" s="210"/>
      <c r="AC21" s="210"/>
    </row>
    <row r="22" spans="1:29">
      <c r="A22" s="210" t="s">
        <v>6144</v>
      </c>
      <c r="B22" s="341" t="s">
        <v>6145</v>
      </c>
      <c r="C22" s="210">
        <f t="shared" si="0"/>
        <v>114588426</v>
      </c>
      <c r="D22" s="210" t="s">
        <v>6002</v>
      </c>
      <c r="E22" s="210" t="s">
        <v>6146</v>
      </c>
      <c r="F22" s="210" t="s">
        <v>6147</v>
      </c>
      <c r="G22" s="210" t="s">
        <v>6148</v>
      </c>
      <c r="H22" s="210"/>
      <c r="I22" s="93">
        <f t="shared" si="3"/>
        <v>0</v>
      </c>
      <c r="J22" s="210">
        <f t="shared" si="2"/>
        <v>0</v>
      </c>
      <c r="K22" s="210"/>
      <c r="L22" s="210"/>
      <c r="M22" s="210"/>
      <c r="N22" s="210"/>
      <c r="O22" s="210"/>
      <c r="P22" s="210"/>
      <c r="Q22" s="210"/>
      <c r="R22" s="210"/>
      <c r="S22" s="210"/>
      <c r="T22" s="210"/>
      <c r="U22" s="210"/>
      <c r="V22" s="210"/>
      <c r="W22" s="210"/>
      <c r="X22" s="210"/>
      <c r="Y22" s="210"/>
      <c r="Z22" s="210"/>
      <c r="AA22" s="210"/>
      <c r="AB22" s="210"/>
      <c r="AC22" s="210"/>
    </row>
    <row r="23" spans="1:29">
      <c r="A23" s="210" t="s">
        <v>6099</v>
      </c>
      <c r="B23" s="341" t="s">
        <v>6100</v>
      </c>
      <c r="C23" s="210">
        <f t="shared" si="0"/>
        <v>735760160</v>
      </c>
      <c r="D23" s="210" t="s">
        <v>6102</v>
      </c>
      <c r="E23" s="210" t="s">
        <v>6103</v>
      </c>
      <c r="F23" s="210" t="s">
        <v>6104</v>
      </c>
      <c r="G23" s="210" t="s">
        <v>6105</v>
      </c>
      <c r="H23" s="210"/>
      <c r="I23" s="93">
        <f t="shared" si="3"/>
        <v>0</v>
      </c>
      <c r="J23" s="210">
        <f t="shared" si="2"/>
        <v>0</v>
      </c>
      <c r="K23" s="210"/>
      <c r="L23" s="210"/>
      <c r="M23" s="210"/>
      <c r="N23" s="210"/>
      <c r="O23" s="210"/>
      <c r="P23" s="210"/>
      <c r="Q23" s="210"/>
      <c r="R23" s="210"/>
      <c r="S23" s="210"/>
      <c r="T23" s="210"/>
      <c r="U23" s="210"/>
      <c r="V23" s="210"/>
      <c r="W23" s="210"/>
      <c r="X23" s="210"/>
      <c r="Y23" s="210"/>
      <c r="Z23" s="210"/>
      <c r="AA23" s="210"/>
      <c r="AB23" s="210"/>
      <c r="AC23" s="210"/>
    </row>
    <row r="24" spans="1:29">
      <c r="A24" s="210" t="s">
        <v>6261</v>
      </c>
      <c r="B24" s="341" t="s">
        <v>6262</v>
      </c>
      <c r="C24" s="210">
        <f t="shared" si="0"/>
        <v>4044500</v>
      </c>
      <c r="D24" s="210" t="s">
        <v>6002</v>
      </c>
      <c r="E24" s="210" t="s">
        <v>6263</v>
      </c>
      <c r="F24" s="210" t="s">
        <v>6247</v>
      </c>
      <c r="G24" s="210" t="s">
        <v>6264</v>
      </c>
      <c r="H24" s="210"/>
      <c r="I24" s="93">
        <f t="shared" si="3"/>
        <v>0</v>
      </c>
      <c r="J24" s="210">
        <f t="shared" si="2"/>
        <v>0</v>
      </c>
      <c r="K24" s="210"/>
      <c r="L24" s="210"/>
      <c r="M24" s="210"/>
      <c r="N24" s="210"/>
      <c r="O24" s="210"/>
      <c r="P24" s="210"/>
      <c r="Q24" s="210"/>
      <c r="R24" s="210"/>
      <c r="S24" s="210"/>
      <c r="T24" s="210"/>
      <c r="U24" s="210"/>
      <c r="V24" s="210"/>
      <c r="W24" s="210"/>
      <c r="X24" s="210"/>
      <c r="Y24" s="210"/>
      <c r="Z24" s="210"/>
      <c r="AA24" s="210"/>
      <c r="AB24" s="210"/>
      <c r="AC24" s="210"/>
    </row>
    <row r="25" spans="1:29">
      <c r="A25" s="210" t="s">
        <v>6173</v>
      </c>
      <c r="B25" s="341" t="s">
        <v>6174</v>
      </c>
      <c r="C25" s="210">
        <f t="shared" si="0"/>
        <v>53400000</v>
      </c>
      <c r="D25" s="210" t="s">
        <v>6002</v>
      </c>
      <c r="E25" s="210" t="s">
        <v>6175</v>
      </c>
      <c r="F25" s="210" t="s">
        <v>6176</v>
      </c>
      <c r="G25" s="210" t="s">
        <v>6177</v>
      </c>
      <c r="H25" s="210"/>
      <c r="I25" s="93">
        <f t="shared" si="3"/>
        <v>0</v>
      </c>
      <c r="J25" s="210">
        <f t="shared" si="2"/>
        <v>0</v>
      </c>
      <c r="K25" s="210"/>
      <c r="L25" s="210"/>
      <c r="M25" s="210"/>
      <c r="N25" s="210"/>
      <c r="O25" s="210"/>
      <c r="P25" s="210"/>
      <c r="Q25" s="210"/>
      <c r="R25" s="210"/>
      <c r="S25" s="210"/>
      <c r="T25" s="210"/>
      <c r="U25" s="210"/>
      <c r="V25" s="210"/>
      <c r="W25" s="210"/>
      <c r="X25" s="210"/>
      <c r="Y25" s="210"/>
      <c r="Z25" s="210"/>
      <c r="AA25" s="210"/>
      <c r="AB25" s="210"/>
      <c r="AC25" s="210"/>
    </row>
    <row r="26" spans="1:29">
      <c r="A26" s="210" t="s">
        <v>6047</v>
      </c>
      <c r="B26" s="341" t="s">
        <v>6048</v>
      </c>
      <c r="C26" s="210">
        <f t="shared" si="0"/>
        <v>36391574</v>
      </c>
      <c r="D26" s="210" t="s">
        <v>6002</v>
      </c>
      <c r="E26" s="210" t="s">
        <v>6049</v>
      </c>
      <c r="F26" s="210" t="s">
        <v>6050</v>
      </c>
      <c r="G26" s="210" t="s">
        <v>6051</v>
      </c>
      <c r="H26" s="210"/>
      <c r="I26" s="93">
        <f t="shared" si="3"/>
        <v>0</v>
      </c>
      <c r="J26" s="210">
        <f t="shared" si="2"/>
        <v>0</v>
      </c>
      <c r="K26" s="210"/>
      <c r="L26" s="210"/>
      <c r="M26" s="210"/>
      <c r="N26" s="210"/>
      <c r="O26" s="210"/>
      <c r="P26" s="210"/>
      <c r="Q26" s="210"/>
      <c r="R26" s="210"/>
      <c r="S26" s="210"/>
      <c r="T26" s="210"/>
      <c r="U26" s="210"/>
      <c r="V26" s="210"/>
      <c r="W26" s="210"/>
      <c r="X26" s="210"/>
      <c r="Y26" s="210"/>
      <c r="Z26" s="210"/>
      <c r="AA26" s="210"/>
      <c r="AB26" s="210"/>
      <c r="AC26" s="210"/>
    </row>
    <row r="27" spans="1:29">
      <c r="A27" s="210" t="s">
        <v>6090</v>
      </c>
      <c r="B27" s="341" t="s">
        <v>6091</v>
      </c>
      <c r="C27" s="210">
        <f t="shared" si="0"/>
        <v>29296590</v>
      </c>
      <c r="D27" s="210" t="s">
        <v>6002</v>
      </c>
      <c r="E27" s="210" t="s">
        <v>6092</v>
      </c>
      <c r="F27" s="210" t="s">
        <v>6093</v>
      </c>
      <c r="G27" s="210" t="s">
        <v>6094</v>
      </c>
      <c r="H27" s="210"/>
      <c r="I27" s="93">
        <f t="shared" si="3"/>
        <v>0</v>
      </c>
      <c r="J27" s="210">
        <f t="shared" si="2"/>
        <v>0</v>
      </c>
      <c r="K27" s="210"/>
      <c r="L27" s="210"/>
      <c r="M27" s="210"/>
      <c r="N27" s="210"/>
      <c r="O27" s="210"/>
      <c r="P27" s="210"/>
      <c r="Q27" s="210"/>
      <c r="R27" s="210"/>
      <c r="S27" s="210"/>
      <c r="T27" s="210"/>
      <c r="U27" s="210"/>
      <c r="V27" s="210"/>
      <c r="W27" s="210"/>
      <c r="X27" s="210"/>
      <c r="Y27" s="210"/>
      <c r="Z27" s="210"/>
      <c r="AA27" s="210"/>
      <c r="AB27" s="210"/>
      <c r="AC27" s="210"/>
    </row>
    <row r="28" spans="1:29">
      <c r="A28" s="210" t="s">
        <v>6189</v>
      </c>
      <c r="B28" s="341" t="s">
        <v>6190</v>
      </c>
      <c r="C28" s="210">
        <f t="shared" si="0"/>
        <v>32151333</v>
      </c>
      <c r="D28" s="210" t="s">
        <v>6002</v>
      </c>
      <c r="E28" s="210" t="s">
        <v>6191</v>
      </c>
      <c r="F28" s="210" t="s">
        <v>6192</v>
      </c>
      <c r="G28" s="210" t="s">
        <v>6193</v>
      </c>
      <c r="H28" s="210"/>
      <c r="I28" s="93">
        <f t="shared" si="3"/>
        <v>0</v>
      </c>
      <c r="J28" s="210">
        <f t="shared" si="2"/>
        <v>0</v>
      </c>
      <c r="K28" s="210"/>
      <c r="L28" s="210"/>
      <c r="M28" s="210"/>
      <c r="N28" s="210"/>
      <c r="O28" s="210"/>
      <c r="P28" s="210"/>
      <c r="Q28" s="210"/>
      <c r="R28" s="210"/>
      <c r="S28" s="210"/>
      <c r="T28" s="210"/>
      <c r="U28" s="210"/>
      <c r="V28" s="210"/>
      <c r="W28" s="210"/>
      <c r="X28" s="210"/>
      <c r="Y28" s="210"/>
      <c r="Z28" s="210"/>
      <c r="AA28" s="210"/>
      <c r="AB28" s="210"/>
      <c r="AC28" s="210"/>
    </row>
    <row r="29" spans="1:29">
      <c r="A29" s="210" t="s">
        <v>6040</v>
      </c>
      <c r="B29" s="341" t="s">
        <v>6041</v>
      </c>
      <c r="C29" s="210">
        <f t="shared" si="0"/>
        <v>23043086</v>
      </c>
      <c r="D29" s="210" t="s">
        <v>6043</v>
      </c>
      <c r="E29" s="210" t="s">
        <v>6044</v>
      </c>
      <c r="F29" s="210" t="s">
        <v>6045</v>
      </c>
      <c r="G29" s="210" t="s">
        <v>6046</v>
      </c>
      <c r="H29" s="210"/>
      <c r="I29" s="93">
        <f t="shared" si="3"/>
        <v>0</v>
      </c>
      <c r="J29" s="210">
        <f t="shared" si="2"/>
        <v>0</v>
      </c>
      <c r="K29" s="210"/>
      <c r="L29" s="210"/>
      <c r="M29" s="210"/>
      <c r="N29" s="210"/>
      <c r="O29" s="210"/>
      <c r="P29" s="210"/>
      <c r="Q29" s="210"/>
      <c r="R29" s="210"/>
      <c r="S29" s="210"/>
      <c r="T29" s="210"/>
      <c r="U29" s="210"/>
      <c r="V29" s="210"/>
      <c r="W29" s="210"/>
      <c r="X29" s="210"/>
      <c r="Y29" s="210"/>
      <c r="Z29" s="210"/>
      <c r="AA29" s="210"/>
      <c r="AB29" s="210"/>
      <c r="AC29" s="210"/>
    </row>
    <row r="30" spans="1:29">
      <c r="A30" s="210" t="s">
        <v>6153</v>
      </c>
      <c r="B30" s="341" t="s">
        <v>6154</v>
      </c>
      <c r="C30" s="210">
        <f t="shared" si="0"/>
        <v>126674402</v>
      </c>
      <c r="D30" s="210" t="s">
        <v>6002</v>
      </c>
      <c r="E30" s="210" t="s">
        <v>6155</v>
      </c>
      <c r="F30" s="210" t="s">
        <v>6156</v>
      </c>
      <c r="G30" s="210" t="s">
        <v>6157</v>
      </c>
      <c r="H30" s="210"/>
      <c r="I30" s="93">
        <f t="shared" si="3"/>
        <v>0</v>
      </c>
      <c r="J30" s="210">
        <f t="shared" si="2"/>
        <v>0</v>
      </c>
      <c r="K30" s="210"/>
      <c r="L30" s="210"/>
      <c r="M30" s="210"/>
      <c r="N30" s="210"/>
      <c r="O30" s="210"/>
      <c r="P30" s="210"/>
      <c r="Q30" s="210"/>
      <c r="R30" s="210"/>
      <c r="S30" s="210"/>
      <c r="T30" s="210"/>
      <c r="U30" s="210"/>
      <c r="V30" s="210"/>
      <c r="W30" s="210"/>
      <c r="X30" s="210"/>
      <c r="Y30" s="210"/>
      <c r="Z30" s="210"/>
      <c r="AA30" s="210"/>
      <c r="AB30" s="210"/>
      <c r="AC30" s="210"/>
    </row>
    <row r="31" spans="1:29">
      <c r="A31" s="210" t="s">
        <v>6122</v>
      </c>
      <c r="B31" s="341" t="s">
        <v>6123</v>
      </c>
      <c r="C31" s="210">
        <f t="shared" si="0"/>
        <v>182160000</v>
      </c>
      <c r="D31" s="210" t="s">
        <v>6002</v>
      </c>
      <c r="E31" s="210" t="s">
        <v>6124</v>
      </c>
      <c r="F31" s="210" t="s">
        <v>6125</v>
      </c>
      <c r="G31" s="210" t="s">
        <v>6126</v>
      </c>
      <c r="H31" s="210"/>
      <c r="I31" s="93">
        <f t="shared" si="3"/>
        <v>0</v>
      </c>
      <c r="J31" s="210">
        <f t="shared" si="2"/>
        <v>0</v>
      </c>
      <c r="K31" s="210"/>
      <c r="L31" s="210"/>
      <c r="M31" s="210"/>
      <c r="N31" s="210"/>
      <c r="O31" s="210"/>
      <c r="P31" s="210"/>
      <c r="Q31" s="210"/>
      <c r="R31" s="210"/>
      <c r="S31" s="210"/>
      <c r="T31" s="210"/>
      <c r="U31" s="210"/>
      <c r="V31" s="210"/>
      <c r="W31" s="210"/>
      <c r="X31" s="210"/>
      <c r="Y31" s="210"/>
      <c r="Z31" s="210"/>
      <c r="AA31" s="210"/>
      <c r="AB31" s="210"/>
      <c r="AC31" s="210"/>
    </row>
    <row r="32" spans="1:29">
      <c r="A32" s="210" t="s">
        <v>6168</v>
      </c>
      <c r="B32" s="341" t="s">
        <v>6169</v>
      </c>
      <c r="C32" s="210">
        <f t="shared" si="0"/>
        <v>67919940</v>
      </c>
      <c r="D32" s="210" t="s">
        <v>6002</v>
      </c>
      <c r="E32" s="210" t="s">
        <v>6170</v>
      </c>
      <c r="F32" s="210" t="s">
        <v>6171</v>
      </c>
      <c r="G32" s="210" t="s">
        <v>6172</v>
      </c>
      <c r="H32" s="210"/>
      <c r="I32" s="93">
        <f t="shared" si="3"/>
        <v>0</v>
      </c>
      <c r="J32" s="210">
        <f t="shared" si="2"/>
        <v>0</v>
      </c>
      <c r="K32" s="210"/>
      <c r="L32" s="210"/>
      <c r="M32" s="210"/>
      <c r="N32" s="210"/>
      <c r="O32" s="210"/>
      <c r="P32" s="210"/>
      <c r="Q32" s="210"/>
      <c r="R32" s="210"/>
      <c r="S32" s="210"/>
      <c r="T32" s="210"/>
      <c r="U32" s="210"/>
      <c r="V32" s="210"/>
      <c r="W32" s="210"/>
      <c r="X32" s="210"/>
      <c r="Y32" s="210"/>
      <c r="Z32" s="210"/>
      <c r="AA32" s="210"/>
      <c r="AB32" s="210"/>
      <c r="AC32" s="210"/>
    </row>
    <row r="33" spans="1:29">
      <c r="A33" s="210" t="s">
        <v>6194</v>
      </c>
      <c r="B33" s="341" t="s">
        <v>6195</v>
      </c>
      <c r="C33" s="210">
        <f t="shared" si="0"/>
        <v>29288000</v>
      </c>
      <c r="D33" s="210" t="s">
        <v>6002</v>
      </c>
      <c r="E33" s="210" t="s">
        <v>6196</v>
      </c>
      <c r="F33" s="210" t="s">
        <v>6197</v>
      </c>
      <c r="G33" s="210" t="s">
        <v>6198</v>
      </c>
      <c r="H33" s="210"/>
      <c r="I33" s="93">
        <f t="shared" si="3"/>
        <v>0</v>
      </c>
      <c r="J33" s="210">
        <f t="shared" si="2"/>
        <v>0</v>
      </c>
      <c r="K33" s="210"/>
      <c r="L33" s="210"/>
      <c r="M33" s="210"/>
      <c r="N33" s="210"/>
      <c r="O33" s="210"/>
      <c r="P33" s="210"/>
      <c r="Q33" s="210"/>
      <c r="R33" s="210"/>
      <c r="S33" s="210"/>
      <c r="T33" s="210"/>
      <c r="U33" s="210"/>
      <c r="V33" s="210"/>
      <c r="W33" s="210"/>
      <c r="X33" s="210"/>
      <c r="Y33" s="210"/>
      <c r="Z33" s="210"/>
      <c r="AA33" s="210"/>
      <c r="AB33" s="210"/>
      <c r="AC33" s="210"/>
    </row>
    <row r="34" spans="1:29">
      <c r="A34" s="210" t="s">
        <v>6204</v>
      </c>
      <c r="B34" s="341" t="s">
        <v>6205</v>
      </c>
      <c r="C34" s="210">
        <f t="shared" ref="C34:C65" si="4">D34+E34</f>
        <v>259990000</v>
      </c>
      <c r="D34" s="210" t="s">
        <v>6002</v>
      </c>
      <c r="E34" s="210" t="s">
        <v>6206</v>
      </c>
      <c r="F34" s="210" t="s">
        <v>6207</v>
      </c>
      <c r="G34" s="210" t="s">
        <v>6208</v>
      </c>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1:29">
      <c r="A35" s="210" t="s">
        <v>6158</v>
      </c>
      <c r="B35" s="341" t="s">
        <v>6159</v>
      </c>
      <c r="C35" s="210">
        <f t="shared" si="4"/>
        <v>6208016</v>
      </c>
      <c r="D35" s="210" t="s">
        <v>6002</v>
      </c>
      <c r="E35" s="210" t="s">
        <v>6160</v>
      </c>
      <c r="F35" s="210" t="s">
        <v>6161</v>
      </c>
      <c r="G35" s="210" t="s">
        <v>6162</v>
      </c>
      <c r="H35" s="210"/>
      <c r="I35" s="210"/>
      <c r="J35" s="210"/>
      <c r="K35" s="210"/>
      <c r="L35" s="210"/>
      <c r="M35" s="210"/>
      <c r="N35" s="210"/>
      <c r="O35" s="210"/>
      <c r="P35" s="210"/>
      <c r="Q35" s="210"/>
      <c r="R35" s="210"/>
      <c r="S35" s="210"/>
      <c r="T35" s="210"/>
      <c r="U35" s="210"/>
      <c r="V35" s="210"/>
      <c r="W35" s="210"/>
      <c r="X35" s="210"/>
      <c r="Y35" s="210"/>
      <c r="Z35" s="210"/>
      <c r="AA35" s="210"/>
      <c r="AB35" s="210"/>
      <c r="AC35" s="210"/>
    </row>
    <row r="36" spans="1:29">
      <c r="A36" s="210" t="s">
        <v>6070</v>
      </c>
      <c r="B36" s="341" t="s">
        <v>6071</v>
      </c>
      <c r="C36" s="210">
        <f t="shared" si="4"/>
        <v>39242697</v>
      </c>
      <c r="D36" s="210" t="s">
        <v>6072</v>
      </c>
      <c r="E36" s="210" t="s">
        <v>6073</v>
      </c>
      <c r="F36" s="210" t="s">
        <v>6074</v>
      </c>
      <c r="G36" s="210" t="s">
        <v>6075</v>
      </c>
      <c r="H36" s="210"/>
      <c r="I36" s="210"/>
      <c r="J36" s="210"/>
      <c r="K36" s="210"/>
      <c r="L36" s="210"/>
      <c r="M36" s="210"/>
      <c r="N36" s="210"/>
      <c r="O36" s="210"/>
      <c r="P36" s="210"/>
      <c r="Q36" s="210"/>
      <c r="R36" s="210"/>
      <c r="S36" s="210"/>
      <c r="T36" s="210"/>
      <c r="U36" s="210"/>
      <c r="V36" s="210"/>
      <c r="W36" s="210"/>
      <c r="X36" s="210"/>
      <c r="Y36" s="210"/>
      <c r="Z36" s="210"/>
      <c r="AA36" s="210"/>
      <c r="AB36" s="210"/>
      <c r="AC36" s="210"/>
    </row>
    <row r="37" spans="1:29">
      <c r="A37" s="210" t="s">
        <v>6199</v>
      </c>
      <c r="B37" s="341" t="s">
        <v>6200</v>
      </c>
      <c r="C37" s="210">
        <f t="shared" si="4"/>
        <v>24338461</v>
      </c>
      <c r="D37" s="210" t="s">
        <v>6002</v>
      </c>
      <c r="E37" s="210" t="s">
        <v>6201</v>
      </c>
      <c r="F37" s="210" t="s">
        <v>6202</v>
      </c>
      <c r="G37" s="210" t="s">
        <v>6203</v>
      </c>
      <c r="H37" s="210"/>
      <c r="I37" s="210"/>
      <c r="J37" s="210"/>
      <c r="K37" s="210"/>
      <c r="L37" s="210"/>
      <c r="M37" s="210"/>
      <c r="N37" s="210"/>
      <c r="O37" s="210"/>
      <c r="P37" s="210"/>
      <c r="Q37" s="210"/>
      <c r="R37" s="210"/>
      <c r="S37" s="210"/>
      <c r="T37" s="210"/>
      <c r="U37" s="210"/>
      <c r="V37" s="210"/>
      <c r="W37" s="210"/>
      <c r="X37" s="210"/>
      <c r="Y37" s="210"/>
      <c r="Z37" s="210"/>
      <c r="AA37" s="210"/>
      <c r="AB37" s="210"/>
      <c r="AC37" s="210"/>
    </row>
    <row r="38" spans="1:29">
      <c r="A38" s="210" t="s">
        <v>6076</v>
      </c>
      <c r="B38" s="341" t="s">
        <v>6077</v>
      </c>
      <c r="C38" s="210">
        <f t="shared" si="4"/>
        <v>35697979</v>
      </c>
      <c r="D38" s="210" t="s">
        <v>6002</v>
      </c>
      <c r="E38" s="210" t="s">
        <v>6079</v>
      </c>
      <c r="F38" s="210" t="s">
        <v>6080</v>
      </c>
      <c r="G38" s="210" t="s">
        <v>6081</v>
      </c>
      <c r="H38" s="210"/>
      <c r="I38" s="210"/>
      <c r="J38" s="210"/>
      <c r="K38" s="210"/>
      <c r="L38" s="210"/>
      <c r="M38" s="210"/>
      <c r="N38" s="210"/>
      <c r="O38" s="210"/>
      <c r="P38" s="210"/>
      <c r="Q38" s="210"/>
      <c r="R38" s="210"/>
      <c r="S38" s="210"/>
      <c r="T38" s="210"/>
      <c r="U38" s="210"/>
      <c r="V38" s="210"/>
      <c r="W38" s="210"/>
      <c r="X38" s="210"/>
      <c r="Y38" s="210"/>
      <c r="Z38" s="210"/>
      <c r="AA38" s="210"/>
      <c r="AB38" s="210"/>
      <c r="AC38" s="210"/>
    </row>
    <row r="39" spans="1:29">
      <c r="A39" s="210" t="s">
        <v>6106</v>
      </c>
      <c r="B39" s="341" t="s">
        <v>6107</v>
      </c>
      <c r="C39" s="210">
        <f t="shared" si="4"/>
        <v>30949707</v>
      </c>
      <c r="D39" s="210" t="s">
        <v>6109</v>
      </c>
      <c r="E39" s="210" t="s">
        <v>6110</v>
      </c>
      <c r="F39" s="210" t="s">
        <v>6111</v>
      </c>
      <c r="G39" s="210" t="s">
        <v>6112</v>
      </c>
      <c r="H39" s="210"/>
      <c r="I39" s="210"/>
      <c r="J39" s="210"/>
      <c r="K39" s="210"/>
      <c r="L39" s="210"/>
      <c r="M39" s="210"/>
      <c r="N39" s="210"/>
      <c r="O39" s="210"/>
      <c r="P39" s="210"/>
      <c r="Q39" s="210"/>
      <c r="R39" s="210"/>
      <c r="S39" s="210"/>
      <c r="T39" s="210"/>
      <c r="U39" s="210"/>
      <c r="V39" s="210"/>
      <c r="W39" s="210"/>
      <c r="X39" s="210"/>
      <c r="Y39" s="210"/>
      <c r="Z39" s="210"/>
      <c r="AA39" s="210"/>
      <c r="AB39" s="210"/>
      <c r="AC39" s="210"/>
    </row>
    <row r="40" spans="1:29">
      <c r="A40" s="210" t="s">
        <v>6066</v>
      </c>
      <c r="B40" s="341" t="s">
        <v>6067</v>
      </c>
      <c r="C40" s="210">
        <f t="shared" si="4"/>
        <v>11270740</v>
      </c>
      <c r="D40" s="210" t="s">
        <v>6002</v>
      </c>
      <c r="E40" s="210" t="s">
        <v>6068</v>
      </c>
      <c r="F40" s="210" t="s">
        <v>6069</v>
      </c>
      <c r="G40" s="210" t="s">
        <v>4847</v>
      </c>
      <c r="H40" s="210"/>
      <c r="I40" s="210"/>
      <c r="J40" s="210"/>
      <c r="K40" s="210"/>
      <c r="L40" s="210"/>
      <c r="M40" s="210"/>
      <c r="N40" s="210"/>
      <c r="O40" s="210"/>
      <c r="P40" s="210"/>
      <c r="Q40" s="210"/>
      <c r="R40" s="210"/>
      <c r="S40" s="210"/>
      <c r="T40" s="210"/>
      <c r="U40" s="210"/>
      <c r="V40" s="210"/>
      <c r="W40" s="210"/>
      <c r="X40" s="210"/>
      <c r="Y40" s="210"/>
      <c r="Z40" s="210"/>
      <c r="AA40" s="210"/>
      <c r="AB40" s="210"/>
      <c r="AC40" s="210"/>
    </row>
    <row r="41" spans="1:29">
      <c r="A41" s="210" t="s">
        <v>6215</v>
      </c>
      <c r="B41" s="341" t="s">
        <v>6216</v>
      </c>
      <c r="C41" s="210">
        <f t="shared" si="4"/>
        <v>15600000</v>
      </c>
      <c r="D41" s="210" t="s">
        <v>6002</v>
      </c>
      <c r="E41" s="210" t="s">
        <v>6217</v>
      </c>
      <c r="F41" s="210" t="s">
        <v>6218</v>
      </c>
      <c r="G41" s="210" t="s">
        <v>6219</v>
      </c>
      <c r="H41" s="210"/>
      <c r="I41" s="210"/>
      <c r="J41" s="210"/>
      <c r="K41" s="210"/>
      <c r="L41" s="210"/>
      <c r="M41" s="210"/>
      <c r="N41" s="210"/>
      <c r="O41" s="210"/>
      <c r="P41" s="210"/>
      <c r="Q41" s="210"/>
      <c r="R41" s="210"/>
      <c r="S41" s="210"/>
      <c r="T41" s="210"/>
      <c r="U41" s="210"/>
      <c r="V41" s="210"/>
      <c r="W41" s="210"/>
      <c r="X41" s="210"/>
      <c r="Y41" s="210"/>
      <c r="Z41" s="210"/>
      <c r="AA41" s="210"/>
      <c r="AB41" s="210"/>
      <c r="AC41" s="210"/>
    </row>
    <row r="42" spans="1:29">
      <c r="A42" s="210" t="s">
        <v>6057</v>
      </c>
      <c r="B42" s="341" t="s">
        <v>6058</v>
      </c>
      <c r="C42" s="210">
        <f t="shared" si="4"/>
        <v>14702520</v>
      </c>
      <c r="D42" s="210" t="s">
        <v>6002</v>
      </c>
      <c r="E42" s="210" t="s">
        <v>6059</v>
      </c>
      <c r="F42" s="210" t="s">
        <v>6060</v>
      </c>
      <c r="G42" s="210" t="s">
        <v>6061</v>
      </c>
      <c r="H42" s="210"/>
      <c r="I42" s="210"/>
      <c r="J42" s="210"/>
      <c r="K42" s="210"/>
      <c r="L42" s="210"/>
      <c r="M42" s="210"/>
      <c r="N42" s="210"/>
      <c r="O42" s="210"/>
      <c r="P42" s="210"/>
      <c r="Q42" s="210"/>
      <c r="R42" s="210"/>
      <c r="S42" s="210"/>
      <c r="T42" s="210"/>
      <c r="U42" s="210"/>
      <c r="V42" s="210"/>
      <c r="W42" s="210"/>
      <c r="X42" s="210"/>
      <c r="Y42" s="210"/>
      <c r="Z42" s="210"/>
      <c r="AA42" s="210"/>
      <c r="AB42" s="210"/>
      <c r="AC42" s="210"/>
    </row>
    <row r="43" spans="1:29">
      <c r="A43" s="210" t="s">
        <v>6135</v>
      </c>
      <c r="B43" s="341" t="s">
        <v>6136</v>
      </c>
      <c r="C43" s="210">
        <f t="shared" si="4"/>
        <v>13930853</v>
      </c>
      <c r="D43" s="210" t="s">
        <v>6002</v>
      </c>
      <c r="E43" s="210" t="s">
        <v>6137</v>
      </c>
      <c r="F43" s="210" t="s">
        <v>6138</v>
      </c>
      <c r="G43" s="210" t="s">
        <v>6139</v>
      </c>
      <c r="H43" s="210"/>
      <c r="I43" s="210"/>
      <c r="J43" s="210"/>
      <c r="K43" s="210"/>
      <c r="L43" s="210"/>
      <c r="M43" s="210"/>
      <c r="N43" s="210"/>
      <c r="O43" s="210"/>
      <c r="P43" s="210"/>
      <c r="Q43" s="210"/>
      <c r="R43" s="210"/>
      <c r="S43" s="210"/>
      <c r="T43" s="210"/>
      <c r="U43" s="210"/>
      <c r="V43" s="210"/>
      <c r="W43" s="210"/>
      <c r="X43" s="210"/>
      <c r="Y43" s="210"/>
      <c r="Z43" s="210"/>
      <c r="AA43" s="210"/>
      <c r="AB43" s="210"/>
      <c r="AC43" s="210"/>
    </row>
    <row r="44" spans="1:29">
      <c r="A44" s="210" t="s">
        <v>6117</v>
      </c>
      <c r="B44" s="341" t="s">
        <v>6118</v>
      </c>
      <c r="C44" s="210">
        <f t="shared" si="4"/>
        <v>68500000</v>
      </c>
      <c r="D44" s="210" t="s">
        <v>6002</v>
      </c>
      <c r="E44" s="210" t="s">
        <v>6119</v>
      </c>
      <c r="F44" s="210" t="s">
        <v>6120</v>
      </c>
      <c r="G44" s="210" t="s">
        <v>6121</v>
      </c>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1:29">
      <c r="A45" s="210" t="s">
        <v>6220</v>
      </c>
      <c r="B45" s="341" t="s">
        <v>6221</v>
      </c>
      <c r="C45" s="210">
        <f t="shared" si="4"/>
        <v>3000000</v>
      </c>
      <c r="D45" s="210" t="s">
        <v>6002</v>
      </c>
      <c r="E45" s="210" t="s">
        <v>6050</v>
      </c>
      <c r="F45" s="210" t="s">
        <v>6222</v>
      </c>
      <c r="G45" s="210" t="s">
        <v>6223</v>
      </c>
      <c r="H45" s="210"/>
      <c r="I45" s="210"/>
      <c r="J45" s="210"/>
      <c r="K45" s="210"/>
      <c r="L45" s="210"/>
      <c r="M45" s="210"/>
      <c r="N45" s="210"/>
      <c r="O45" s="210"/>
      <c r="P45" s="210"/>
      <c r="Q45" s="210"/>
      <c r="R45" s="210"/>
      <c r="S45" s="210"/>
      <c r="T45" s="210"/>
      <c r="U45" s="210"/>
      <c r="V45" s="210"/>
      <c r="W45" s="210"/>
      <c r="X45" s="210"/>
      <c r="Y45" s="210"/>
      <c r="Z45" s="210"/>
      <c r="AA45" s="210"/>
      <c r="AB45" s="210"/>
      <c r="AC45" s="210"/>
    </row>
    <row r="46" spans="1:29">
      <c r="A46" s="210" t="s">
        <v>6239</v>
      </c>
      <c r="B46" s="341" t="s">
        <v>6240</v>
      </c>
      <c r="C46" s="210">
        <f t="shared" si="4"/>
        <v>12400000</v>
      </c>
      <c r="D46" s="210" t="s">
        <v>6002</v>
      </c>
      <c r="E46" s="210" t="s">
        <v>6241</v>
      </c>
      <c r="F46" s="210" t="s">
        <v>6242</v>
      </c>
      <c r="G46" s="210" t="s">
        <v>6243</v>
      </c>
      <c r="H46" s="210"/>
      <c r="I46" s="210"/>
      <c r="J46" s="210"/>
      <c r="K46" s="210"/>
      <c r="L46" s="210"/>
      <c r="M46" s="210"/>
      <c r="N46" s="210"/>
      <c r="O46" s="210"/>
      <c r="P46" s="210"/>
      <c r="Q46" s="210"/>
      <c r="R46" s="210"/>
      <c r="S46" s="210"/>
      <c r="T46" s="210"/>
      <c r="U46" s="210"/>
      <c r="V46" s="210"/>
      <c r="W46" s="210"/>
      <c r="X46" s="210"/>
      <c r="Y46" s="210"/>
      <c r="Z46" s="210"/>
      <c r="AA46" s="210"/>
      <c r="AB46" s="210"/>
      <c r="AC46" s="210"/>
    </row>
    <row r="47" spans="1:29">
      <c r="A47" s="210" t="s">
        <v>6149</v>
      </c>
      <c r="B47" s="341" t="s">
        <v>6150</v>
      </c>
      <c r="C47" s="210">
        <f t="shared" si="4"/>
        <v>25000000</v>
      </c>
      <c r="D47" s="210" t="s">
        <v>6002</v>
      </c>
      <c r="E47" s="210" t="s">
        <v>6069</v>
      </c>
      <c r="F47" s="210" t="s">
        <v>6151</v>
      </c>
      <c r="G47" s="210" t="s">
        <v>6152</v>
      </c>
      <c r="H47" s="210"/>
      <c r="I47" s="210"/>
      <c r="J47" s="210"/>
      <c r="K47" s="210"/>
      <c r="L47" s="210"/>
      <c r="M47" s="210"/>
      <c r="N47" s="210"/>
      <c r="O47" s="210"/>
      <c r="P47" s="210"/>
      <c r="Q47" s="210"/>
      <c r="R47" s="210"/>
      <c r="S47" s="210"/>
      <c r="T47" s="210"/>
      <c r="U47" s="210"/>
      <c r="V47" s="210"/>
      <c r="W47" s="210"/>
      <c r="X47" s="210"/>
      <c r="Y47" s="210"/>
      <c r="Z47" s="210"/>
      <c r="AA47" s="210"/>
      <c r="AB47" s="210"/>
      <c r="AC47" s="210"/>
    </row>
    <row r="48" spans="1:29">
      <c r="A48" s="210" t="s">
        <v>6224</v>
      </c>
      <c r="B48" s="341" t="s">
        <v>6225</v>
      </c>
      <c r="C48" s="210">
        <f t="shared" si="4"/>
        <v>29000000</v>
      </c>
      <c r="D48" s="210" t="s">
        <v>6002</v>
      </c>
      <c r="E48" s="210" t="s">
        <v>6226</v>
      </c>
      <c r="F48" s="210" t="s">
        <v>6227</v>
      </c>
      <c r="G48" s="210" t="s">
        <v>6228</v>
      </c>
      <c r="H48" s="210"/>
      <c r="I48" s="210"/>
      <c r="J48" s="210"/>
      <c r="K48" s="210"/>
      <c r="L48" s="210"/>
      <c r="M48" s="210"/>
      <c r="N48" s="210"/>
      <c r="O48" s="210"/>
      <c r="P48" s="210"/>
      <c r="Q48" s="210"/>
      <c r="R48" s="210"/>
      <c r="S48" s="210"/>
      <c r="T48" s="210"/>
      <c r="U48" s="210"/>
      <c r="V48" s="210"/>
      <c r="W48" s="210"/>
      <c r="X48" s="210"/>
      <c r="Y48" s="210"/>
      <c r="Z48" s="210"/>
      <c r="AA48" s="210"/>
      <c r="AB48" s="210"/>
      <c r="AC48" s="210"/>
    </row>
    <row r="49" spans="1:29">
      <c r="A49" s="210" t="s">
        <v>6252</v>
      </c>
      <c r="B49" s="341" t="s">
        <v>6253</v>
      </c>
      <c r="C49" s="210">
        <f t="shared" si="4"/>
        <v>12691397</v>
      </c>
      <c r="D49" s="210" t="s">
        <v>6002</v>
      </c>
      <c r="E49" s="210" t="s">
        <v>6254</v>
      </c>
      <c r="F49" s="210" t="s">
        <v>6255</v>
      </c>
      <c r="G49" s="210" t="s">
        <v>6256</v>
      </c>
      <c r="H49" s="210"/>
      <c r="I49" s="210"/>
      <c r="J49" s="210"/>
      <c r="K49" s="210"/>
      <c r="L49" s="210"/>
      <c r="M49" s="210"/>
      <c r="N49" s="210"/>
      <c r="O49" s="210"/>
      <c r="P49" s="210"/>
      <c r="Q49" s="210"/>
      <c r="R49" s="210"/>
      <c r="S49" s="210"/>
      <c r="T49" s="210"/>
      <c r="U49" s="210"/>
      <c r="V49" s="210"/>
      <c r="W49" s="210"/>
      <c r="X49" s="210"/>
      <c r="Y49" s="210"/>
      <c r="Z49" s="210"/>
      <c r="AA49" s="210"/>
      <c r="AB49" s="210"/>
      <c r="AC49" s="210"/>
    </row>
    <row r="50" spans="1:29">
      <c r="A50" s="210" t="s">
        <v>6244</v>
      </c>
      <c r="B50" s="341" t="s">
        <v>6245</v>
      </c>
      <c r="C50" s="210">
        <f t="shared" si="4"/>
        <v>4639508</v>
      </c>
      <c r="D50" s="210" t="s">
        <v>6002</v>
      </c>
      <c r="E50" s="210" t="s">
        <v>6246</v>
      </c>
      <c r="F50" s="210" t="s">
        <v>6247</v>
      </c>
      <c r="G50" s="210" t="s">
        <v>6248</v>
      </c>
      <c r="H50" s="210"/>
      <c r="I50" s="210"/>
      <c r="J50" s="210"/>
      <c r="K50" s="210"/>
      <c r="L50" s="210"/>
      <c r="M50" s="210"/>
      <c r="N50" s="210"/>
      <c r="O50" s="210"/>
      <c r="P50" s="210"/>
      <c r="Q50" s="210"/>
      <c r="R50" s="210"/>
      <c r="S50" s="210"/>
      <c r="T50" s="210"/>
      <c r="U50" s="210"/>
      <c r="V50" s="210"/>
      <c r="W50" s="210"/>
      <c r="X50" s="210"/>
      <c r="Y50" s="210"/>
      <c r="Z50" s="210"/>
      <c r="AA50" s="210"/>
      <c r="AB50" s="210"/>
      <c r="AC50" s="210"/>
    </row>
    <row r="51" spans="1:29">
      <c r="A51" s="210" t="s">
        <v>6184</v>
      </c>
      <c r="B51" s="341" t="s">
        <v>6185</v>
      </c>
      <c r="C51" s="210">
        <f t="shared" si="4"/>
        <v>9242699</v>
      </c>
      <c r="D51" s="210" t="s">
        <v>6002</v>
      </c>
      <c r="E51" s="210" t="s">
        <v>6186</v>
      </c>
      <c r="F51" s="210" t="s">
        <v>6187</v>
      </c>
      <c r="G51" s="210" t="s">
        <v>6188</v>
      </c>
      <c r="H51" s="210"/>
      <c r="I51" s="210"/>
      <c r="J51" s="210"/>
      <c r="K51" s="210"/>
      <c r="L51" s="210"/>
      <c r="M51" s="210"/>
      <c r="N51" s="210"/>
      <c r="O51" s="210"/>
      <c r="P51" s="210"/>
      <c r="Q51" s="210"/>
      <c r="R51" s="210"/>
      <c r="S51" s="210"/>
      <c r="T51" s="210"/>
      <c r="U51" s="210"/>
      <c r="V51" s="210"/>
      <c r="W51" s="210"/>
      <c r="X51" s="210"/>
      <c r="Y51" s="210"/>
      <c r="Z51" s="210"/>
      <c r="AA51" s="210"/>
      <c r="AB51" s="210"/>
      <c r="AC51" s="210"/>
    </row>
    <row r="52" spans="1:29">
      <c r="A52" s="210" t="s">
        <v>6178</v>
      </c>
      <c r="B52" s="341" t="s">
        <v>6179</v>
      </c>
      <c r="C52" s="210">
        <f t="shared" si="4"/>
        <v>12000000</v>
      </c>
      <c r="D52" s="210" t="s">
        <v>6002</v>
      </c>
      <c r="E52" s="210" t="s">
        <v>6181</v>
      </c>
      <c r="F52" s="210" t="s">
        <v>6182</v>
      </c>
      <c r="G52" s="210" t="s">
        <v>6183</v>
      </c>
      <c r="H52" s="210"/>
      <c r="I52" s="210"/>
      <c r="J52" s="210"/>
      <c r="K52" s="210"/>
      <c r="L52" s="210"/>
      <c r="M52" s="210"/>
      <c r="N52" s="210"/>
      <c r="O52" s="210"/>
      <c r="P52" s="210"/>
      <c r="Q52" s="210"/>
      <c r="R52" s="210"/>
      <c r="S52" s="210"/>
      <c r="T52" s="210"/>
      <c r="U52" s="210"/>
      <c r="V52" s="210"/>
      <c r="W52" s="210"/>
      <c r="X52" s="210"/>
      <c r="Y52" s="210"/>
      <c r="Z52" s="210"/>
      <c r="AA52" s="210"/>
      <c r="AB52" s="210"/>
      <c r="AC52" s="210"/>
    </row>
    <row r="53" spans="1:29">
      <c r="A53" s="210" t="s">
        <v>6234</v>
      </c>
      <c r="B53" s="341" t="s">
        <v>6235</v>
      </c>
      <c r="C53" s="210">
        <f t="shared" si="4"/>
        <v>18333333</v>
      </c>
      <c r="D53" s="210" t="s">
        <v>6002</v>
      </c>
      <c r="E53" s="210" t="s">
        <v>6236</v>
      </c>
      <c r="F53" s="210" t="s">
        <v>6237</v>
      </c>
      <c r="G53" s="210" t="s">
        <v>6238</v>
      </c>
      <c r="H53" s="210"/>
      <c r="I53" s="210"/>
      <c r="J53" s="210"/>
      <c r="K53" s="210"/>
      <c r="L53" s="210"/>
      <c r="M53" s="210"/>
      <c r="N53" s="210"/>
      <c r="O53" s="210"/>
      <c r="P53" s="210"/>
      <c r="Q53" s="210"/>
      <c r="R53" s="210"/>
      <c r="S53" s="210"/>
      <c r="T53" s="210"/>
      <c r="U53" s="210"/>
      <c r="V53" s="210"/>
      <c r="W53" s="210"/>
      <c r="X53" s="210"/>
      <c r="Y53" s="210"/>
      <c r="Z53" s="210"/>
      <c r="AA53" s="210"/>
      <c r="AB53" s="210"/>
      <c r="AC53" s="210"/>
    </row>
    <row r="54" spans="1:29">
      <c r="A54" s="210" t="s">
        <v>6209</v>
      </c>
      <c r="B54" s="341" t="s">
        <v>6210</v>
      </c>
      <c r="C54" s="210">
        <f t="shared" si="4"/>
        <v>10686057</v>
      </c>
      <c r="D54" s="210" t="s">
        <v>6211</v>
      </c>
      <c r="E54" s="210" t="s">
        <v>6212</v>
      </c>
      <c r="F54" s="210" t="s">
        <v>6213</v>
      </c>
      <c r="G54" s="210" t="s">
        <v>6214</v>
      </c>
      <c r="H54" s="210"/>
      <c r="I54" s="210"/>
      <c r="J54" s="210"/>
      <c r="K54" s="210"/>
      <c r="L54" s="210"/>
      <c r="M54" s="210"/>
      <c r="N54" s="210"/>
      <c r="O54" s="210"/>
      <c r="P54" s="210"/>
      <c r="Q54" s="210"/>
      <c r="R54" s="210"/>
      <c r="S54" s="210"/>
      <c r="T54" s="210"/>
      <c r="U54" s="210"/>
      <c r="V54" s="210"/>
      <c r="W54" s="210"/>
      <c r="X54" s="210"/>
      <c r="Y54" s="210"/>
      <c r="Z54" s="210"/>
      <c r="AA54" s="210"/>
      <c r="AB54" s="210"/>
      <c r="AC54" s="210"/>
    </row>
    <row r="55" spans="1:29">
      <c r="A55" s="210" t="s">
        <v>6163</v>
      </c>
      <c r="B55" s="341" t="s">
        <v>6164</v>
      </c>
      <c r="C55" s="210">
        <f t="shared" si="4"/>
        <v>6210524</v>
      </c>
      <c r="D55" s="210" t="s">
        <v>6002</v>
      </c>
      <c r="E55" s="210" t="s">
        <v>6165</v>
      </c>
      <c r="F55" s="210" t="s">
        <v>6166</v>
      </c>
      <c r="G55" s="210" t="s">
        <v>6167</v>
      </c>
      <c r="H55" s="210"/>
      <c r="I55" s="210"/>
      <c r="J55" s="210"/>
      <c r="K55" s="210"/>
      <c r="L55" s="210"/>
      <c r="M55" s="210"/>
      <c r="N55" s="210"/>
      <c r="O55" s="210"/>
      <c r="P55" s="210"/>
      <c r="Q55" s="210"/>
      <c r="R55" s="210"/>
      <c r="S55" s="210"/>
      <c r="T55" s="210"/>
      <c r="U55" s="210"/>
      <c r="V55" s="210"/>
      <c r="W55" s="210"/>
      <c r="X55" s="210"/>
      <c r="Y55" s="210"/>
      <c r="Z55" s="210"/>
      <c r="AA55" s="210"/>
      <c r="AB55" s="210"/>
      <c r="AC55" s="210"/>
    </row>
    <row r="56" spans="1:29">
      <c r="A56" s="210" t="s">
        <v>6288</v>
      </c>
      <c r="B56" s="341" t="s">
        <v>6289</v>
      </c>
      <c r="C56" s="210">
        <f t="shared" si="4"/>
        <v>2660000</v>
      </c>
      <c r="D56" s="210" t="s">
        <v>6002</v>
      </c>
      <c r="E56" s="210" t="s">
        <v>6290</v>
      </c>
      <c r="F56" s="210" t="s">
        <v>6291</v>
      </c>
      <c r="G56" s="210" t="s">
        <v>6292</v>
      </c>
      <c r="H56" s="210"/>
      <c r="I56" s="210"/>
      <c r="J56" s="210"/>
      <c r="K56" s="210"/>
      <c r="L56" s="210"/>
      <c r="M56" s="210"/>
      <c r="N56" s="210"/>
      <c r="O56" s="210"/>
      <c r="P56" s="210"/>
      <c r="Q56" s="210"/>
      <c r="R56" s="210"/>
      <c r="S56" s="210"/>
      <c r="T56" s="210"/>
      <c r="U56" s="210"/>
      <c r="V56" s="210"/>
      <c r="W56" s="210"/>
      <c r="X56" s="210"/>
      <c r="Y56" s="210"/>
      <c r="Z56" s="210"/>
      <c r="AA56" s="210"/>
      <c r="AB56" s="210"/>
      <c r="AC56" s="210"/>
    </row>
    <row r="57" spans="1:29">
      <c r="A57" s="210" t="s">
        <v>6265</v>
      </c>
      <c r="B57" s="341" t="s">
        <v>6266</v>
      </c>
      <c r="C57" s="210">
        <f t="shared" si="4"/>
        <v>4333333</v>
      </c>
      <c r="D57" s="210" t="s">
        <v>6002</v>
      </c>
      <c r="E57" s="210" t="s">
        <v>6267</v>
      </c>
      <c r="F57" s="210" t="s">
        <v>6268</v>
      </c>
      <c r="G57" s="210" t="s">
        <v>6269</v>
      </c>
      <c r="H57" s="210"/>
      <c r="I57" s="210"/>
      <c r="J57" s="210"/>
      <c r="K57" s="210"/>
      <c r="L57" s="210"/>
      <c r="M57" s="210"/>
      <c r="N57" s="210"/>
      <c r="O57" s="210"/>
      <c r="P57" s="210"/>
      <c r="Q57" s="210"/>
      <c r="R57" s="210"/>
      <c r="S57" s="210"/>
      <c r="T57" s="210"/>
      <c r="U57" s="210"/>
      <c r="V57" s="210"/>
      <c r="W57" s="210"/>
      <c r="X57" s="210"/>
      <c r="Y57" s="210"/>
      <c r="Z57" s="210"/>
      <c r="AA57" s="210"/>
      <c r="AB57" s="210"/>
      <c r="AC57" s="210"/>
    </row>
    <row r="58" spans="1:29">
      <c r="A58" s="210" t="s">
        <v>6270</v>
      </c>
      <c r="B58" s="341" t="s">
        <v>6271</v>
      </c>
      <c r="C58" s="210">
        <f t="shared" si="4"/>
        <v>469533</v>
      </c>
      <c r="D58" s="210" t="s">
        <v>6002</v>
      </c>
      <c r="E58" s="210" t="s">
        <v>6272</v>
      </c>
      <c r="F58" s="210" t="s">
        <v>6273</v>
      </c>
      <c r="G58" s="210" t="s">
        <v>6274</v>
      </c>
      <c r="H58" s="210"/>
      <c r="I58" s="210"/>
      <c r="J58" s="210"/>
      <c r="K58" s="210"/>
      <c r="L58" s="210"/>
      <c r="M58" s="210"/>
      <c r="N58" s="210"/>
      <c r="O58" s="210"/>
      <c r="P58" s="210"/>
      <c r="Q58" s="210"/>
      <c r="R58" s="210"/>
      <c r="S58" s="210"/>
      <c r="T58" s="210"/>
      <c r="U58" s="210"/>
      <c r="V58" s="210"/>
      <c r="W58" s="210"/>
      <c r="X58" s="210"/>
      <c r="Y58" s="210"/>
      <c r="Z58" s="210"/>
      <c r="AA58" s="210"/>
      <c r="AB58" s="210"/>
      <c r="AC58" s="210"/>
    </row>
    <row r="59" spans="1:29">
      <c r="A59" s="210" t="s">
        <v>6317</v>
      </c>
      <c r="B59" s="341" t="s">
        <v>6316</v>
      </c>
      <c r="C59" s="210">
        <f t="shared" si="4"/>
        <v>5076558</v>
      </c>
      <c r="D59" s="210" t="s">
        <v>6318</v>
      </c>
      <c r="E59" s="210" t="s">
        <v>6002</v>
      </c>
      <c r="F59" s="210" t="s">
        <v>6255</v>
      </c>
      <c r="G59" s="210" t="s">
        <v>6319</v>
      </c>
      <c r="H59" s="210"/>
      <c r="I59" s="210"/>
      <c r="J59" s="210"/>
      <c r="K59" s="210"/>
      <c r="L59" s="210"/>
      <c r="M59" s="210"/>
      <c r="N59" s="210"/>
      <c r="O59" s="210"/>
      <c r="P59" s="210"/>
      <c r="Q59" s="210"/>
      <c r="R59" s="210"/>
      <c r="S59" s="210"/>
      <c r="T59" s="210"/>
      <c r="U59" s="210"/>
      <c r="V59" s="210"/>
      <c r="W59" s="210"/>
      <c r="X59" s="210"/>
      <c r="Y59" s="210"/>
      <c r="Z59" s="210"/>
      <c r="AA59" s="210"/>
      <c r="AB59" s="210"/>
      <c r="AC59" s="210"/>
    </row>
    <row r="60" spans="1:29">
      <c r="A60" s="210" t="s">
        <v>5995</v>
      </c>
      <c r="B60" s="341" t="s">
        <v>6257</v>
      </c>
      <c r="C60" s="210">
        <f t="shared" si="4"/>
        <v>1144000</v>
      </c>
      <c r="D60" s="210" t="s">
        <v>6002</v>
      </c>
      <c r="E60" s="210" t="s">
        <v>6258</v>
      </c>
      <c r="F60" s="210" t="s">
        <v>6259</v>
      </c>
      <c r="G60" s="210" t="s">
        <v>6260</v>
      </c>
      <c r="H60" s="210"/>
      <c r="I60" s="210"/>
      <c r="J60" s="210"/>
      <c r="K60" s="210"/>
      <c r="L60" s="210"/>
      <c r="M60" s="210"/>
      <c r="N60" s="210"/>
      <c r="O60" s="210"/>
      <c r="P60" s="210"/>
      <c r="Q60" s="210"/>
      <c r="R60" s="210"/>
      <c r="S60" s="210"/>
      <c r="T60" s="210"/>
      <c r="U60" s="210"/>
      <c r="V60" s="210"/>
      <c r="W60" s="210"/>
      <c r="X60" s="210"/>
      <c r="Y60" s="210"/>
      <c r="Z60" s="210"/>
      <c r="AA60" s="210"/>
      <c r="AB60" s="210"/>
      <c r="AC60" s="210"/>
    </row>
    <row r="61" spans="1:29">
      <c r="A61" s="210" t="s">
        <v>6229</v>
      </c>
      <c r="B61" s="341" t="s">
        <v>6230</v>
      </c>
      <c r="C61" s="210">
        <f t="shared" si="4"/>
        <v>2000000</v>
      </c>
      <c r="D61" s="210" t="s">
        <v>6002</v>
      </c>
      <c r="E61" s="210" t="s">
        <v>6231</v>
      </c>
      <c r="F61" s="210" t="s">
        <v>6232</v>
      </c>
      <c r="G61" s="210" t="s">
        <v>6233</v>
      </c>
      <c r="H61" s="210"/>
      <c r="I61" s="210"/>
      <c r="J61" s="210"/>
      <c r="K61" s="210"/>
      <c r="L61" s="210"/>
      <c r="M61" s="210"/>
      <c r="N61" s="210"/>
      <c r="O61" s="210"/>
      <c r="P61" s="210"/>
      <c r="Q61" s="210"/>
      <c r="R61" s="210"/>
      <c r="S61" s="210"/>
      <c r="T61" s="210"/>
      <c r="U61" s="210"/>
      <c r="V61" s="210"/>
      <c r="W61" s="210"/>
      <c r="X61" s="210"/>
      <c r="Y61" s="210"/>
      <c r="Z61" s="210"/>
      <c r="AA61" s="210"/>
      <c r="AB61" s="210"/>
      <c r="AC61" s="210"/>
    </row>
    <row r="62" spans="1:29">
      <c r="A62" s="210" t="s">
        <v>6279</v>
      </c>
      <c r="B62" s="341" t="s">
        <v>6280</v>
      </c>
      <c r="C62" s="210">
        <f t="shared" si="4"/>
        <v>1469425</v>
      </c>
      <c r="D62" s="210" t="s">
        <v>6002</v>
      </c>
      <c r="E62" s="210" t="s">
        <v>6281</v>
      </c>
      <c r="F62" s="210" t="s">
        <v>6282</v>
      </c>
      <c r="G62" s="210" t="s">
        <v>6283</v>
      </c>
      <c r="H62" s="210"/>
      <c r="I62" s="210"/>
      <c r="J62" s="210"/>
      <c r="K62" s="210"/>
      <c r="L62" s="210"/>
      <c r="M62" s="210"/>
      <c r="N62" s="210"/>
      <c r="O62" s="210"/>
      <c r="P62" s="210"/>
      <c r="Q62" s="210"/>
      <c r="R62" s="210"/>
      <c r="S62" s="210"/>
      <c r="T62" s="210"/>
      <c r="U62" s="210"/>
      <c r="V62" s="210"/>
      <c r="W62" s="210"/>
      <c r="X62" s="210"/>
      <c r="Y62" s="210"/>
      <c r="Z62" s="210"/>
      <c r="AA62" s="210"/>
      <c r="AB62" s="210"/>
      <c r="AC62" s="210"/>
    </row>
    <row r="63" spans="1:29">
      <c r="A63" s="210" t="s">
        <v>6275</v>
      </c>
      <c r="B63" s="341" t="s">
        <v>6276</v>
      </c>
      <c r="C63" s="210">
        <f t="shared" si="4"/>
        <v>1888175</v>
      </c>
      <c r="D63" s="210" t="s">
        <v>6002</v>
      </c>
      <c r="E63" s="210" t="s">
        <v>6277</v>
      </c>
      <c r="F63" s="210" t="s">
        <v>6069</v>
      </c>
      <c r="G63" s="210" t="s">
        <v>6278</v>
      </c>
      <c r="H63" s="210"/>
      <c r="I63" s="210"/>
      <c r="J63" s="210"/>
      <c r="K63" s="210"/>
      <c r="L63" s="210"/>
      <c r="M63" s="210"/>
      <c r="N63" s="210"/>
      <c r="O63" s="210"/>
      <c r="P63" s="210"/>
      <c r="Q63" s="210"/>
      <c r="R63" s="210"/>
      <c r="S63" s="210"/>
      <c r="T63" s="210"/>
      <c r="U63" s="210"/>
      <c r="V63" s="210"/>
      <c r="W63" s="210"/>
      <c r="X63" s="210"/>
      <c r="Y63" s="210"/>
      <c r="Z63" s="210"/>
      <c r="AA63" s="210"/>
      <c r="AB63" s="210"/>
      <c r="AC63" s="210"/>
    </row>
    <row r="64" spans="1:29">
      <c r="A64" s="210" t="s">
        <v>5992</v>
      </c>
      <c r="B64" s="341" t="s">
        <v>6249</v>
      </c>
      <c r="C64" s="210">
        <f t="shared" si="4"/>
        <v>15200000</v>
      </c>
      <c r="D64" s="210" t="s">
        <v>6002</v>
      </c>
      <c r="E64" s="210" t="s">
        <v>6250</v>
      </c>
      <c r="F64" s="210" t="s">
        <v>6088</v>
      </c>
      <c r="G64" s="210" t="s">
        <v>6251</v>
      </c>
      <c r="H64" s="210"/>
      <c r="I64" s="210"/>
      <c r="J64" s="210"/>
      <c r="K64" s="210"/>
      <c r="L64" s="210"/>
      <c r="M64" s="210"/>
      <c r="N64" s="210"/>
      <c r="O64" s="210"/>
      <c r="P64" s="210"/>
      <c r="Q64" s="210"/>
      <c r="R64" s="210"/>
      <c r="S64" s="210"/>
      <c r="T64" s="210"/>
      <c r="U64" s="210"/>
      <c r="V64" s="210"/>
      <c r="W64" s="210"/>
      <c r="X64" s="210"/>
      <c r="Y64" s="210"/>
      <c r="Z64" s="210"/>
      <c r="AA64" s="210"/>
      <c r="AB64" s="210"/>
      <c r="AC64" s="210"/>
    </row>
    <row r="65" spans="1:29">
      <c r="A65" s="210" t="s">
        <v>6293</v>
      </c>
      <c r="B65" s="341" t="s">
        <v>6294</v>
      </c>
      <c r="C65" s="210">
        <f t="shared" si="4"/>
        <v>364567</v>
      </c>
      <c r="D65" s="210" t="s">
        <v>6002</v>
      </c>
      <c r="E65" s="210" t="s">
        <v>6295</v>
      </c>
      <c r="F65" s="210" t="s">
        <v>6192</v>
      </c>
      <c r="G65" s="210" t="s">
        <v>6296</v>
      </c>
      <c r="H65" s="210"/>
      <c r="I65" s="210"/>
      <c r="J65" s="210"/>
      <c r="K65" s="210"/>
      <c r="L65" s="210"/>
      <c r="M65" s="210"/>
      <c r="N65" s="210"/>
      <c r="O65" s="210"/>
      <c r="P65" s="210"/>
      <c r="Q65" s="210"/>
      <c r="R65" s="210"/>
      <c r="S65" s="210"/>
      <c r="T65" s="210"/>
      <c r="U65" s="210"/>
      <c r="V65" s="210"/>
      <c r="W65" s="210"/>
      <c r="X65" s="210"/>
      <c r="Y65" s="210"/>
      <c r="Z65" s="210"/>
      <c r="AA65" s="210"/>
      <c r="AB65" s="210"/>
      <c r="AC65" s="210"/>
    </row>
    <row r="66" spans="1:29">
      <c r="A66" s="210" t="s">
        <v>6284</v>
      </c>
      <c r="B66" s="341" t="s">
        <v>6285</v>
      </c>
      <c r="C66" s="210">
        <f t="shared" ref="C66:C70" si="5">D66+E66</f>
        <v>474991</v>
      </c>
      <c r="D66" s="210" t="s">
        <v>6002</v>
      </c>
      <c r="E66" s="210" t="s">
        <v>6286</v>
      </c>
      <c r="F66" s="210" t="s">
        <v>6133</v>
      </c>
      <c r="G66" s="210" t="s">
        <v>6287</v>
      </c>
      <c r="H66" s="210"/>
      <c r="I66" s="210"/>
      <c r="J66" s="210"/>
      <c r="K66" s="210"/>
      <c r="L66" s="210"/>
      <c r="M66" s="210"/>
      <c r="N66" s="210"/>
      <c r="O66" s="210"/>
      <c r="P66" s="210"/>
      <c r="Q66" s="210"/>
      <c r="R66" s="210"/>
      <c r="S66" s="210"/>
      <c r="T66" s="210"/>
      <c r="U66" s="210"/>
      <c r="V66" s="210"/>
      <c r="W66" s="210"/>
      <c r="X66" s="210"/>
      <c r="Y66" s="210"/>
      <c r="Z66" s="210"/>
      <c r="AA66" s="210"/>
      <c r="AB66" s="210"/>
      <c r="AC66" s="210"/>
    </row>
    <row r="67" spans="1:29">
      <c r="A67" s="210" t="s">
        <v>6303</v>
      </c>
      <c r="B67" s="341" t="s">
        <v>6304</v>
      </c>
      <c r="C67" s="210">
        <f t="shared" si="5"/>
        <v>35981</v>
      </c>
      <c r="D67" s="210" t="s">
        <v>6002</v>
      </c>
      <c r="E67" s="210" t="s">
        <v>6305</v>
      </c>
      <c r="F67" s="210" t="s">
        <v>6306</v>
      </c>
      <c r="G67" s="210" t="s">
        <v>6307</v>
      </c>
      <c r="H67" s="210"/>
      <c r="I67" s="210"/>
      <c r="J67" s="210"/>
      <c r="K67" s="210"/>
      <c r="L67" s="210"/>
      <c r="M67" s="210"/>
      <c r="N67" s="210"/>
      <c r="O67" s="210"/>
      <c r="P67" s="210"/>
      <c r="Q67" s="210"/>
      <c r="R67" s="210"/>
      <c r="S67" s="210"/>
      <c r="T67" s="210"/>
      <c r="U67" s="210"/>
      <c r="V67" s="210"/>
      <c r="W67" s="210"/>
      <c r="X67" s="210"/>
      <c r="Y67" s="210"/>
      <c r="Z67" s="210"/>
      <c r="AA67" s="210"/>
      <c r="AB67" s="210"/>
      <c r="AC67" s="210"/>
    </row>
    <row r="68" spans="1:29">
      <c r="A68" s="210" t="s">
        <v>6297</v>
      </c>
      <c r="B68" s="341" t="s">
        <v>6298</v>
      </c>
      <c r="C68" s="210">
        <f t="shared" si="5"/>
        <v>3000</v>
      </c>
      <c r="D68" s="210" t="s">
        <v>6300</v>
      </c>
      <c r="E68" s="210" t="s">
        <v>6301</v>
      </c>
      <c r="F68" s="210" t="s">
        <v>6088</v>
      </c>
      <c r="G68" s="210" t="s">
        <v>6302</v>
      </c>
      <c r="H68" s="210"/>
      <c r="I68" s="210"/>
      <c r="J68" s="210"/>
      <c r="K68" s="210"/>
      <c r="L68" s="210"/>
      <c r="M68" s="210"/>
      <c r="N68" s="210"/>
      <c r="O68" s="210"/>
      <c r="P68" s="210"/>
      <c r="Q68" s="210"/>
      <c r="R68" s="210"/>
      <c r="S68" s="210"/>
      <c r="T68" s="210"/>
      <c r="U68" s="210"/>
      <c r="V68" s="210"/>
      <c r="W68" s="210"/>
      <c r="X68" s="210"/>
      <c r="Y68" s="210"/>
      <c r="Z68" s="210"/>
      <c r="AA68" s="210"/>
      <c r="AB68" s="210"/>
      <c r="AC68" s="210"/>
    </row>
    <row r="69" spans="1:29">
      <c r="A69" s="210" t="s">
        <v>6308</v>
      </c>
      <c r="B69" s="341" t="s">
        <v>6309</v>
      </c>
      <c r="C69" s="210">
        <f t="shared" si="5"/>
        <v>2666</v>
      </c>
      <c r="D69" s="210" t="s">
        <v>6002</v>
      </c>
      <c r="E69" s="210" t="s">
        <v>6311</v>
      </c>
      <c r="F69" s="210" t="s">
        <v>6133</v>
      </c>
      <c r="G69" s="210" t="s">
        <v>6312</v>
      </c>
      <c r="H69" s="210"/>
      <c r="I69" s="210"/>
      <c r="J69" s="210"/>
      <c r="K69" s="210"/>
      <c r="L69" s="210"/>
      <c r="M69" s="210"/>
      <c r="N69" s="210"/>
      <c r="O69" s="210"/>
      <c r="P69" s="210"/>
      <c r="Q69" s="210"/>
      <c r="R69" s="210"/>
      <c r="S69" s="210"/>
      <c r="T69" s="210"/>
      <c r="U69" s="210"/>
      <c r="V69" s="210"/>
      <c r="W69" s="210"/>
      <c r="X69" s="210"/>
      <c r="Y69" s="210"/>
      <c r="Z69" s="210"/>
      <c r="AA69" s="210"/>
      <c r="AB69" s="210"/>
      <c r="AC69" s="210"/>
    </row>
    <row r="70" spans="1:29">
      <c r="A70" s="210" t="s">
        <v>6313</v>
      </c>
      <c r="B70" s="341" t="s">
        <v>6002</v>
      </c>
      <c r="C70" s="210">
        <f t="shared" si="5"/>
        <v>0</v>
      </c>
      <c r="D70" s="210" t="s">
        <v>6314</v>
      </c>
      <c r="E70" s="210" t="s">
        <v>6102</v>
      </c>
      <c r="F70" s="210" t="s">
        <v>6104</v>
      </c>
      <c r="G70" s="210" t="s">
        <v>6315</v>
      </c>
      <c r="H70" s="210"/>
      <c r="I70" s="210"/>
      <c r="J70" s="210"/>
      <c r="K70" s="210"/>
      <c r="L70" s="210"/>
      <c r="M70" s="210"/>
      <c r="N70" s="210"/>
      <c r="O70" s="210"/>
      <c r="P70" s="210"/>
      <c r="Q70" s="210"/>
      <c r="R70" s="210"/>
      <c r="S70" s="210"/>
      <c r="T70" s="210"/>
      <c r="U70" s="210"/>
      <c r="V70" s="210"/>
      <c r="W70" s="210"/>
      <c r="X70" s="210"/>
      <c r="Y70" s="210"/>
      <c r="Z70" s="210"/>
      <c r="AA70" s="210"/>
      <c r="AB70" s="210"/>
      <c r="AC70" s="210"/>
    </row>
    <row r="71" spans="1:29">
      <c r="A71" s="210" t="s">
        <v>6320</v>
      </c>
      <c r="B71" s="341" t="s">
        <v>6002</v>
      </c>
      <c r="C71" s="210"/>
      <c r="D71" s="210" t="s">
        <v>6002</v>
      </c>
      <c r="E71" s="210" t="s">
        <v>6321</v>
      </c>
      <c r="F71" s="210" t="s">
        <v>6322</v>
      </c>
      <c r="G71" s="210" t="s">
        <v>6323</v>
      </c>
      <c r="H71" s="210"/>
      <c r="I71" s="210"/>
      <c r="J71" s="210"/>
      <c r="K71" s="210"/>
      <c r="L71" s="210"/>
      <c r="M71" s="210"/>
      <c r="N71" s="210"/>
      <c r="O71" s="210"/>
      <c r="P71" s="210"/>
      <c r="Q71" s="210"/>
      <c r="R71" s="210"/>
      <c r="S71" s="210"/>
      <c r="T71" s="210"/>
      <c r="U71" s="210"/>
      <c r="V71" s="210"/>
      <c r="W71" s="210"/>
      <c r="X71" s="210"/>
      <c r="Y71" s="210"/>
      <c r="Z71" s="210"/>
      <c r="AA71" s="210"/>
      <c r="AB71" s="210"/>
      <c r="AC71" s="210"/>
    </row>
    <row r="72" spans="1:29">
      <c r="A72" s="210"/>
      <c r="B72" s="341">
        <f>SUM(B2:B70)</f>
        <v>232176627</v>
      </c>
      <c r="C72" s="340">
        <v>47269501</v>
      </c>
      <c r="D72" s="210" t="s">
        <v>4923</v>
      </c>
      <c r="E72" s="210"/>
      <c r="F72" s="210"/>
      <c r="G72" s="210"/>
      <c r="H72" s="210"/>
      <c r="I72" s="210"/>
      <c r="J72" s="210"/>
      <c r="K72" s="210"/>
      <c r="L72" s="210"/>
      <c r="M72" s="210"/>
      <c r="N72" s="210"/>
      <c r="O72" s="210"/>
      <c r="P72" s="210"/>
      <c r="Q72" s="210"/>
      <c r="R72" s="210"/>
      <c r="S72" s="210"/>
      <c r="T72" s="210"/>
      <c r="U72" s="210"/>
      <c r="V72" s="210"/>
      <c r="W72" s="210"/>
      <c r="X72" s="210"/>
      <c r="Y72" s="210"/>
      <c r="Z72" s="210"/>
      <c r="AA72" s="210"/>
      <c r="AB72" s="210"/>
      <c r="AC72" s="210"/>
    </row>
    <row r="73" spans="1:29">
      <c r="A73" s="210"/>
      <c r="B73" s="210"/>
      <c r="C73" s="210"/>
      <c r="D73" s="210"/>
      <c r="E73" s="210"/>
      <c r="F73" s="210"/>
      <c r="G73" s="210"/>
      <c r="H73" s="210"/>
      <c r="I73" s="210"/>
      <c r="J73" s="210"/>
      <c r="K73" s="210"/>
      <c r="L73" s="210"/>
      <c r="M73" s="210"/>
      <c r="N73" s="210"/>
      <c r="O73" s="210"/>
      <c r="P73" s="210"/>
      <c r="Q73" s="210"/>
      <c r="R73" s="210"/>
      <c r="S73" s="210"/>
      <c r="T73" s="210"/>
      <c r="U73" s="210"/>
      <c r="V73" s="210"/>
      <c r="W73" s="210"/>
      <c r="X73" s="210"/>
      <c r="Y73" s="210"/>
      <c r="Z73" s="210"/>
      <c r="AA73" s="210"/>
      <c r="AB73" s="210"/>
      <c r="AC73" s="210"/>
    </row>
    <row r="74" spans="1:29">
      <c r="A74" s="210"/>
      <c r="B74" s="210"/>
      <c r="C74" s="210"/>
      <c r="D74" s="210"/>
      <c r="E74" s="210"/>
      <c r="F74" s="210"/>
      <c r="G74" s="210"/>
      <c r="H74" s="210"/>
      <c r="I74" s="210"/>
      <c r="J74" s="210"/>
      <c r="K74" s="210"/>
      <c r="L74" s="210"/>
      <c r="M74" s="210"/>
      <c r="N74" s="210"/>
      <c r="O74" s="210"/>
      <c r="P74" s="210"/>
      <c r="Q74" s="210"/>
      <c r="R74" s="210"/>
      <c r="S74" s="210"/>
      <c r="T74" s="210"/>
      <c r="U74" s="210"/>
      <c r="V74" s="210"/>
      <c r="W74" s="210"/>
      <c r="X74" s="210"/>
      <c r="Y74" s="210"/>
      <c r="Z74" s="210"/>
      <c r="AA74" s="210"/>
      <c r="AB74" s="210"/>
      <c r="AC74" s="210"/>
    </row>
    <row r="75" spans="1:29">
      <c r="A75" s="210"/>
      <c r="B75" s="210"/>
      <c r="C75" s="210"/>
      <c r="D75" s="210"/>
      <c r="E75" s="210"/>
      <c r="F75" s="210"/>
      <c r="G75" s="210"/>
      <c r="H75" s="210"/>
      <c r="I75" s="210"/>
      <c r="J75" s="210"/>
      <c r="K75" s="210"/>
      <c r="L75" s="210"/>
      <c r="M75" s="210"/>
      <c r="N75" s="210"/>
      <c r="O75" s="210"/>
      <c r="P75" s="210"/>
      <c r="Q75" s="210"/>
      <c r="R75" s="210"/>
      <c r="S75" s="210"/>
      <c r="T75" s="210"/>
      <c r="U75" s="210"/>
      <c r="V75" s="210"/>
      <c r="W75" s="210"/>
      <c r="X75" s="210"/>
      <c r="Y75" s="210"/>
      <c r="Z75" s="210"/>
      <c r="AA75" s="210"/>
      <c r="AB75" s="210"/>
      <c r="AC75" s="210"/>
    </row>
    <row r="76" spans="1:29">
      <c r="A76" s="210"/>
      <c r="B76" s="210"/>
      <c r="C76" s="210"/>
      <c r="D76" s="210"/>
      <c r="E76" s="210"/>
      <c r="F76" s="210"/>
      <c r="G76" s="210"/>
      <c r="H76" s="210"/>
      <c r="I76" s="210"/>
      <c r="J76" s="210"/>
      <c r="K76" s="210"/>
      <c r="L76" s="210"/>
      <c r="M76" s="210"/>
      <c r="N76" s="210"/>
      <c r="O76" s="210"/>
      <c r="P76" s="210"/>
      <c r="Q76" s="210"/>
      <c r="R76" s="210"/>
      <c r="S76" s="210"/>
      <c r="T76" s="210"/>
      <c r="U76" s="210"/>
      <c r="V76" s="210"/>
      <c r="W76" s="210"/>
      <c r="X76" s="210"/>
      <c r="Y76" s="210"/>
      <c r="Z76" s="210"/>
      <c r="AA76" s="210"/>
      <c r="AB76" s="210"/>
      <c r="AC76" s="210"/>
    </row>
    <row r="77" spans="1:29">
      <c r="A77" s="210"/>
      <c r="B77" s="210"/>
      <c r="C77" s="210"/>
      <c r="D77" s="210"/>
      <c r="E77" s="210"/>
      <c r="F77" s="210"/>
      <c r="G77" s="210"/>
      <c r="H77" s="210"/>
      <c r="I77" s="210"/>
      <c r="J77" s="210"/>
      <c r="K77" s="210"/>
      <c r="L77" s="210"/>
      <c r="M77" s="210"/>
      <c r="N77" s="210"/>
      <c r="O77" s="210"/>
      <c r="P77" s="210"/>
      <c r="Q77" s="210"/>
      <c r="R77" s="210"/>
      <c r="S77" s="210"/>
      <c r="T77" s="210"/>
      <c r="U77" s="210"/>
      <c r="V77" s="210"/>
      <c r="W77" s="210"/>
      <c r="X77" s="210"/>
      <c r="Y77" s="210"/>
      <c r="Z77" s="210"/>
      <c r="AA77" s="210"/>
      <c r="AB77" s="210"/>
      <c r="AC77" s="210"/>
    </row>
    <row r="78" spans="1:29">
      <c r="A78" s="210"/>
      <c r="B78" s="210"/>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c r="AA78" s="210"/>
      <c r="AB78" s="210"/>
      <c r="AC78" s="210"/>
    </row>
    <row r="79" spans="1:29">
      <c r="A79" s="210"/>
      <c r="B79" s="210"/>
      <c r="C79" s="210"/>
      <c r="D79" s="210"/>
      <c r="E79" s="210"/>
      <c r="F79" s="210"/>
      <c r="G79" s="210"/>
      <c r="H79" s="210"/>
      <c r="I79" s="210"/>
      <c r="J79" s="210"/>
      <c r="K79" s="210"/>
      <c r="L79" s="210"/>
      <c r="M79" s="210"/>
      <c r="N79" s="210"/>
      <c r="O79" s="210"/>
      <c r="P79" s="210"/>
      <c r="Q79" s="210"/>
      <c r="R79" s="210"/>
      <c r="S79" s="210"/>
      <c r="T79" s="210"/>
      <c r="U79" s="210"/>
      <c r="V79" s="210"/>
      <c r="W79" s="210"/>
      <c r="X79" s="210"/>
      <c r="Y79" s="210"/>
      <c r="Z79" s="210"/>
      <c r="AA79" s="210"/>
      <c r="AB79" s="210"/>
      <c r="AC79" s="210"/>
    </row>
    <row r="80" spans="1:29">
      <c r="A80" s="210"/>
      <c r="B80" s="210"/>
      <c r="C80" s="210"/>
      <c r="D80" s="210"/>
      <c r="E80" s="210"/>
      <c r="F80" s="210"/>
      <c r="G80" s="210"/>
      <c r="H80" s="210"/>
      <c r="I80" s="210"/>
      <c r="J80" s="210"/>
      <c r="K80" s="210"/>
      <c r="L80" s="210"/>
      <c r="M80" s="210"/>
      <c r="N80" s="210"/>
      <c r="O80" s="210"/>
      <c r="P80" s="210"/>
      <c r="Q80" s="210"/>
      <c r="R80" s="210"/>
      <c r="S80" s="210"/>
      <c r="T80" s="210"/>
      <c r="U80" s="210"/>
      <c r="V80" s="210"/>
      <c r="W80" s="210"/>
      <c r="X80" s="210"/>
      <c r="Y80" s="210"/>
      <c r="Z80" s="210"/>
      <c r="AA80" s="210"/>
      <c r="AB80" s="210"/>
      <c r="AC80" s="210"/>
    </row>
    <row r="81" spans="1:29">
      <c r="A81" s="210"/>
      <c r="B81" s="210"/>
      <c r="C81" s="210"/>
      <c r="D81" s="210"/>
      <c r="E81" s="210"/>
      <c r="F81" s="210"/>
      <c r="G81" s="210"/>
      <c r="H81" s="210"/>
      <c r="I81" s="210"/>
      <c r="J81" s="210"/>
      <c r="K81" s="210"/>
      <c r="L81" s="210"/>
      <c r="M81" s="210"/>
      <c r="N81" s="210"/>
      <c r="O81" s="210"/>
      <c r="P81" s="210"/>
      <c r="Q81" s="210"/>
      <c r="R81" s="210"/>
      <c r="S81" s="210"/>
      <c r="T81" s="210"/>
      <c r="U81" s="210"/>
      <c r="V81" s="210"/>
      <c r="W81" s="210"/>
      <c r="X81" s="210"/>
      <c r="Y81" s="210"/>
      <c r="Z81" s="210"/>
      <c r="AA81" s="210"/>
      <c r="AB81" s="210"/>
      <c r="AC81" s="210"/>
    </row>
    <row r="82" spans="1:29">
      <c r="A82" s="210"/>
      <c r="B82" s="210"/>
      <c r="C82" s="210"/>
      <c r="D82" s="210"/>
      <c r="E82" s="210"/>
      <c r="F82" s="210"/>
      <c r="G82" s="210"/>
      <c r="H82" s="210" t="s">
        <v>5987</v>
      </c>
      <c r="I82" s="210" t="s">
        <v>191</v>
      </c>
      <c r="J82" s="210" t="s">
        <v>6504</v>
      </c>
      <c r="K82" s="210"/>
      <c r="L82" s="210"/>
      <c r="M82" s="210"/>
      <c r="N82" s="210"/>
      <c r="O82" s="210"/>
      <c r="P82" s="210"/>
      <c r="Q82" s="210"/>
      <c r="R82" s="210"/>
      <c r="S82" s="210"/>
      <c r="T82" s="210"/>
      <c r="U82" s="210"/>
      <c r="V82" s="210"/>
      <c r="W82" s="210"/>
      <c r="X82" s="210"/>
      <c r="Y82" s="210"/>
      <c r="Z82" s="210"/>
      <c r="AA82" s="210"/>
      <c r="AB82" s="210"/>
      <c r="AC82" s="210"/>
    </row>
    <row r="83" spans="1:29">
      <c r="A83" s="210"/>
      <c r="B83" s="210"/>
      <c r="C83" s="210">
        <f>D83+E83</f>
        <v>0</v>
      </c>
      <c r="D83" s="210"/>
      <c r="E83" s="210"/>
      <c r="F83" s="210"/>
      <c r="G83" s="210"/>
      <c r="H83" s="210"/>
      <c r="I83" s="210"/>
      <c r="J83" s="210"/>
      <c r="K83" s="210"/>
      <c r="L83" s="210"/>
      <c r="M83" s="210"/>
      <c r="N83" s="210"/>
      <c r="O83" s="210"/>
      <c r="P83" s="210"/>
      <c r="Q83" s="210"/>
      <c r="R83" s="210"/>
      <c r="S83" s="210"/>
      <c r="T83" s="210"/>
      <c r="U83" s="210"/>
      <c r="V83" s="210"/>
      <c r="W83" s="210"/>
      <c r="X83" s="210"/>
      <c r="Y83" s="210"/>
      <c r="Z83" s="210"/>
      <c r="AA83" s="210"/>
      <c r="AB83" s="210"/>
      <c r="AC83" s="210"/>
    </row>
    <row r="84" spans="1:29">
      <c r="A84" s="210"/>
      <c r="B84" s="210"/>
      <c r="C84" s="210">
        <f>D84+E84</f>
        <v>0</v>
      </c>
      <c r="D84" s="210"/>
      <c r="E84" s="210"/>
      <c r="F84" s="210"/>
      <c r="G84" s="210"/>
      <c r="H84" s="210"/>
      <c r="I84" s="210"/>
      <c r="J84" s="210"/>
      <c r="K84" s="210"/>
      <c r="L84" s="210"/>
      <c r="M84" s="210"/>
      <c r="N84" s="210"/>
      <c r="O84" s="210"/>
      <c r="P84" s="210"/>
      <c r="Q84" s="210"/>
      <c r="R84" s="210"/>
      <c r="S84" s="210"/>
      <c r="T84" s="210"/>
      <c r="U84" s="210"/>
      <c r="V84" s="210"/>
      <c r="W84" s="210"/>
      <c r="X84" s="210"/>
      <c r="Y84" s="210"/>
      <c r="Z84" s="210"/>
      <c r="AA84" s="210"/>
      <c r="AB84" s="210"/>
      <c r="AC84" s="210"/>
    </row>
    <row r="85" spans="1:29">
      <c r="A85" s="210"/>
      <c r="B85" s="210"/>
      <c r="C85" s="210"/>
      <c r="D85" s="210"/>
      <c r="E85" s="210"/>
      <c r="F85" s="210"/>
      <c r="G85" s="210"/>
      <c r="H85" s="210"/>
      <c r="I85" s="210"/>
      <c r="J85" s="210"/>
      <c r="K85" s="210"/>
      <c r="L85" s="210"/>
      <c r="M85" s="210"/>
      <c r="N85" s="210"/>
      <c r="O85" s="210"/>
      <c r="P85" s="210"/>
      <c r="Q85" s="210"/>
      <c r="R85" s="210"/>
      <c r="S85" s="210"/>
      <c r="T85" s="210"/>
      <c r="U85" s="210"/>
      <c r="V85" s="210"/>
      <c r="W85" s="210"/>
      <c r="X85" s="210"/>
      <c r="Y85" s="210"/>
      <c r="Z85" s="210"/>
      <c r="AA85" s="210"/>
      <c r="AB85" s="210"/>
      <c r="AC85" s="210"/>
    </row>
    <row r="86" spans="1:29">
      <c r="A86" s="210"/>
      <c r="B86" s="210"/>
      <c r="C86" s="210"/>
      <c r="D86" s="210" t="s">
        <v>25</v>
      </c>
      <c r="E86" s="210"/>
      <c r="F86" s="210"/>
      <c r="G86" s="210"/>
      <c r="H86" s="210"/>
      <c r="I86" s="210"/>
      <c r="J86" s="210"/>
      <c r="K86" s="210"/>
      <c r="L86" s="210"/>
      <c r="M86" s="210"/>
      <c r="N86" s="210"/>
      <c r="O86" s="210"/>
      <c r="P86" s="210"/>
      <c r="Q86" s="210"/>
      <c r="R86" s="210"/>
      <c r="S86" s="210"/>
      <c r="T86" s="210"/>
      <c r="U86" s="210"/>
      <c r="V86" s="210"/>
      <c r="W86" s="210"/>
      <c r="X86" s="210"/>
      <c r="Y86" s="210"/>
      <c r="Z86" s="210"/>
      <c r="AA86" s="210"/>
      <c r="AB86" s="210"/>
      <c r="AC86" s="210"/>
    </row>
    <row r="87" spans="1:29">
      <c r="A87" s="210"/>
      <c r="B87" s="210"/>
      <c r="C87" s="210"/>
      <c r="D87" s="210"/>
      <c r="E87" s="210"/>
      <c r="F87" s="210"/>
      <c r="G87" s="210"/>
      <c r="H87" s="210"/>
      <c r="I87" s="210"/>
      <c r="J87" s="210"/>
      <c r="K87" s="210"/>
      <c r="L87" s="210"/>
      <c r="M87" s="210"/>
      <c r="N87" s="210"/>
      <c r="O87" s="210"/>
      <c r="P87" s="210"/>
      <c r="Q87" s="210"/>
      <c r="R87" s="210"/>
      <c r="S87" s="210"/>
      <c r="T87" s="210"/>
      <c r="U87" s="210"/>
      <c r="V87" s="210"/>
      <c r="W87" s="210"/>
      <c r="X87" s="210"/>
      <c r="Y87" s="210"/>
      <c r="Z87" s="210"/>
      <c r="AA87" s="210"/>
      <c r="AB87" s="210"/>
      <c r="AC87" s="210"/>
    </row>
    <row r="88" spans="1:29">
      <c r="A88" s="210"/>
      <c r="B88" s="210"/>
      <c r="C88" s="210"/>
      <c r="D88" s="210"/>
      <c r="E88" s="210"/>
      <c r="F88" s="210"/>
      <c r="G88" s="210"/>
      <c r="H88" s="210"/>
      <c r="I88" s="210"/>
      <c r="J88" s="210"/>
      <c r="K88" s="210"/>
      <c r="L88" s="210"/>
      <c r="M88" s="210"/>
      <c r="N88" s="210"/>
      <c r="O88" s="210"/>
      <c r="P88" s="210"/>
      <c r="Q88" s="210"/>
      <c r="R88" s="210"/>
      <c r="S88" s="210"/>
      <c r="T88" s="210"/>
      <c r="U88" s="210"/>
      <c r="V88" s="210"/>
      <c r="W88" s="210"/>
      <c r="X88" s="210"/>
      <c r="Y88" s="210"/>
      <c r="Z88" s="210"/>
      <c r="AA88" s="210"/>
      <c r="AB88" s="210"/>
      <c r="AC88" s="210"/>
    </row>
    <row r="89" spans="1:29">
      <c r="A89" s="210"/>
      <c r="B89" s="210"/>
      <c r="C89" s="210"/>
      <c r="D89" s="210"/>
      <c r="E89" s="210"/>
      <c r="F89" s="210"/>
      <c r="G89" s="210"/>
      <c r="H89" s="210"/>
      <c r="I89" s="210"/>
      <c r="J89" s="210"/>
      <c r="K89" s="210"/>
      <c r="L89" s="210"/>
      <c r="M89" s="210"/>
      <c r="N89" s="210"/>
      <c r="O89" s="210"/>
      <c r="P89" s="210"/>
      <c r="Q89" s="210"/>
      <c r="R89" s="210"/>
      <c r="S89" s="210"/>
      <c r="T89" s="210"/>
      <c r="U89" s="210"/>
      <c r="V89" s="210"/>
      <c r="W89" s="210"/>
      <c r="X89" s="210"/>
      <c r="Y89" s="210"/>
      <c r="Z89" s="210"/>
      <c r="AA89" s="210"/>
      <c r="AB89" s="210"/>
      <c r="AC89" s="210"/>
    </row>
    <row r="90" spans="1:29">
      <c r="A90" s="210"/>
      <c r="B90" s="210"/>
      <c r="C90" s="210"/>
      <c r="D90" s="210"/>
      <c r="E90" s="210"/>
      <c r="F90" s="210"/>
      <c r="G90" s="210"/>
      <c r="H90" s="210"/>
      <c r="I90" s="210"/>
      <c r="J90" s="210"/>
      <c r="K90" s="210"/>
      <c r="L90" s="210"/>
      <c r="M90" s="210"/>
      <c r="N90" s="210"/>
      <c r="O90" s="210"/>
      <c r="P90" s="210"/>
      <c r="Q90" s="210"/>
      <c r="R90" s="210"/>
      <c r="S90" s="210"/>
      <c r="T90" s="210"/>
      <c r="U90" s="210"/>
      <c r="V90" s="210"/>
      <c r="W90" s="210"/>
      <c r="X90" s="210"/>
      <c r="Y90" s="210"/>
      <c r="Z90" s="210"/>
      <c r="AA90" s="210"/>
      <c r="AB90" s="210"/>
      <c r="AC90" s="210"/>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10"/>
      <c r="B1" s="210" t="s">
        <v>6327</v>
      </c>
      <c r="C1" s="210"/>
      <c r="D1" s="210"/>
      <c r="E1" s="210"/>
      <c r="F1" s="210"/>
      <c r="G1" s="210"/>
      <c r="H1" s="210"/>
      <c r="I1" s="210"/>
      <c r="J1" s="210"/>
      <c r="K1" s="210"/>
      <c r="L1" s="210"/>
      <c r="M1" s="210"/>
      <c r="N1" s="210"/>
      <c r="O1" s="210"/>
      <c r="P1" s="210"/>
      <c r="Q1" s="210"/>
      <c r="R1" s="210"/>
      <c r="S1" s="210"/>
      <c r="T1" s="210"/>
      <c r="U1" s="210" t="s">
        <v>6328</v>
      </c>
      <c r="V1" s="210"/>
      <c r="W1" s="210"/>
      <c r="X1" s="210"/>
      <c r="Y1" s="210" t="s">
        <v>5984</v>
      </c>
      <c r="Z1" s="210"/>
      <c r="AA1" s="210"/>
      <c r="AB1" s="210"/>
      <c r="AC1" s="210"/>
      <c r="AD1" s="210"/>
      <c r="AE1" s="210"/>
      <c r="AF1" s="210"/>
      <c r="AG1" s="210"/>
      <c r="AH1" s="210"/>
      <c r="AI1" s="210"/>
      <c r="AJ1" s="210"/>
      <c r="AK1" s="210"/>
      <c r="AL1" s="210"/>
      <c r="AM1" s="210"/>
      <c r="AN1" s="210"/>
      <c r="AO1" s="210"/>
      <c r="AP1" s="210"/>
      <c r="AQ1" s="210"/>
      <c r="AR1" s="210"/>
      <c r="AS1" s="210"/>
      <c r="AT1" s="210"/>
      <c r="AU1" s="210"/>
      <c r="AV1" s="210"/>
      <c r="AW1" s="210"/>
      <c r="AX1" s="210"/>
      <c r="AY1" s="210"/>
      <c r="AZ1" s="210"/>
      <c r="BA1" s="210"/>
      <c r="BB1" s="210"/>
      <c r="BC1" s="210"/>
      <c r="BD1" s="210"/>
      <c r="BE1" s="41"/>
      <c r="BF1" s="41"/>
      <c r="BG1" s="41"/>
      <c r="BH1" s="41"/>
      <c r="BI1" s="41"/>
      <c r="BJ1" s="41"/>
      <c r="BK1" s="41"/>
      <c r="BL1" s="41"/>
      <c r="BM1" s="41"/>
      <c r="BN1" s="41"/>
      <c r="BO1" s="41"/>
      <c r="BP1" s="41"/>
    </row>
    <row r="2" spans="1:68">
      <c r="A2" s="210"/>
      <c r="B2" s="210"/>
      <c r="C2" s="210" t="s">
        <v>5985</v>
      </c>
      <c r="D2" s="210"/>
      <c r="E2" s="210"/>
      <c r="F2" s="210" t="s">
        <v>5983</v>
      </c>
      <c r="G2" s="210"/>
      <c r="H2" s="210"/>
      <c r="I2" s="210" t="s">
        <v>5985</v>
      </c>
      <c r="J2" s="210"/>
      <c r="K2" s="210"/>
      <c r="L2" s="210" t="s">
        <v>4844</v>
      </c>
      <c r="M2" s="210"/>
      <c r="N2" s="210"/>
      <c r="O2" s="210"/>
      <c r="P2" s="210"/>
      <c r="Q2" s="210" t="s">
        <v>5985</v>
      </c>
      <c r="R2" s="210"/>
      <c r="S2" s="210"/>
      <c r="T2" s="210" t="s">
        <v>4844</v>
      </c>
      <c r="U2" s="210"/>
      <c r="V2" s="210"/>
      <c r="W2" s="210"/>
      <c r="X2" s="210"/>
      <c r="Y2" s="210"/>
      <c r="Z2" s="210"/>
      <c r="AA2" s="210"/>
      <c r="AB2" s="210" t="s">
        <v>5986</v>
      </c>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41"/>
      <c r="BF2" s="41"/>
      <c r="BG2" s="41"/>
      <c r="BH2" s="41"/>
      <c r="BI2" s="41"/>
      <c r="BJ2" s="41"/>
      <c r="BK2" s="41"/>
      <c r="BL2" s="41"/>
      <c r="BM2" s="41"/>
      <c r="BN2" s="41"/>
      <c r="BO2" s="41"/>
      <c r="BP2" s="41"/>
    </row>
    <row r="3" spans="1:68">
      <c r="A3" s="210"/>
      <c r="B3" s="210"/>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210"/>
      <c r="AD3" s="210"/>
      <c r="AE3" s="210"/>
      <c r="AF3" s="210"/>
      <c r="AG3" s="210"/>
      <c r="AH3" s="210"/>
      <c r="AI3" s="210"/>
      <c r="AJ3" s="210"/>
      <c r="AK3" s="210"/>
      <c r="AL3" s="210"/>
      <c r="AM3" s="210"/>
      <c r="AN3" s="210"/>
      <c r="AO3" s="210"/>
      <c r="AP3" s="210"/>
      <c r="AQ3" s="210"/>
      <c r="AR3" s="210"/>
      <c r="AS3" s="210"/>
      <c r="AT3" s="210"/>
      <c r="AU3" s="210"/>
      <c r="AV3" s="210"/>
      <c r="AW3" s="210"/>
      <c r="AX3" s="210"/>
      <c r="AY3" s="210"/>
      <c r="AZ3" s="210"/>
      <c r="BA3" s="210"/>
      <c r="BB3" s="210"/>
      <c r="BC3" s="210"/>
      <c r="BD3" s="210"/>
      <c r="BE3" s="41"/>
      <c r="BF3" s="41"/>
      <c r="BG3" s="41"/>
      <c r="BH3" s="41"/>
      <c r="BI3" s="41"/>
      <c r="BJ3" s="41"/>
      <c r="BK3" s="41"/>
      <c r="BL3" s="41"/>
      <c r="BM3" s="41"/>
      <c r="BN3" s="41"/>
      <c r="BO3" s="41"/>
      <c r="BP3" s="41"/>
    </row>
    <row r="4" spans="1:68">
      <c r="A4" s="210" t="s">
        <v>6329</v>
      </c>
      <c r="B4" s="210"/>
      <c r="C4" s="210" t="s">
        <v>6330</v>
      </c>
      <c r="D4" s="210"/>
      <c r="E4" s="210"/>
      <c r="F4" s="210" t="s">
        <v>6331</v>
      </c>
      <c r="G4" s="210"/>
      <c r="H4" s="210"/>
      <c r="I4" s="210" t="s">
        <v>6332</v>
      </c>
      <c r="J4" s="210"/>
      <c r="K4" s="210"/>
      <c r="L4" s="210"/>
      <c r="M4" s="210"/>
      <c r="N4" s="210" t="s">
        <v>6333</v>
      </c>
      <c r="O4" s="210"/>
      <c r="P4" s="210"/>
      <c r="Q4" s="210" t="s">
        <v>6334</v>
      </c>
      <c r="R4" s="210"/>
      <c r="S4" s="210"/>
      <c r="T4" s="210"/>
      <c r="U4" s="210" t="s">
        <v>6335</v>
      </c>
      <c r="V4" s="210"/>
      <c r="W4" s="210"/>
      <c r="X4" s="210"/>
      <c r="Y4" s="210" t="s">
        <v>5992</v>
      </c>
      <c r="Z4" s="210"/>
      <c r="AA4" s="210" t="s">
        <v>6336</v>
      </c>
      <c r="AB4" s="210"/>
      <c r="AC4" s="210"/>
      <c r="AD4" s="210" t="s">
        <v>6337</v>
      </c>
      <c r="AE4" s="210"/>
      <c r="AF4" s="210"/>
      <c r="AG4" s="210"/>
      <c r="AH4" s="210"/>
      <c r="AI4" s="210"/>
      <c r="AJ4" s="210"/>
      <c r="AK4" s="210"/>
      <c r="AL4" s="210"/>
      <c r="AM4" s="210"/>
      <c r="AN4" s="210"/>
      <c r="AO4" s="210"/>
      <c r="AP4" s="210"/>
      <c r="AQ4" s="210"/>
      <c r="AR4" s="210"/>
      <c r="AS4" s="210"/>
      <c r="AT4" s="210"/>
      <c r="AU4" s="210"/>
      <c r="AV4" s="210"/>
      <c r="AW4" s="210"/>
      <c r="AX4" s="210"/>
      <c r="AY4" s="210"/>
      <c r="AZ4" s="210"/>
      <c r="BA4" s="210"/>
      <c r="BB4" s="210"/>
      <c r="BC4" s="210"/>
      <c r="BD4" s="210"/>
      <c r="BE4" s="41"/>
      <c r="BF4" s="41"/>
      <c r="BG4" s="41"/>
      <c r="BH4" s="41"/>
      <c r="BI4" s="41"/>
      <c r="BJ4" s="41"/>
      <c r="BK4" s="41"/>
      <c r="BL4" s="41"/>
      <c r="BM4" s="41"/>
      <c r="BN4" s="41"/>
      <c r="BO4" s="41"/>
      <c r="BP4" s="41"/>
    </row>
    <row r="5" spans="1:68">
      <c r="A5" s="210"/>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41"/>
      <c r="BF5" s="41"/>
      <c r="BG5" s="41"/>
      <c r="BH5" s="41"/>
      <c r="BI5" s="41"/>
      <c r="BJ5" s="41"/>
      <c r="BK5" s="41"/>
      <c r="BL5" s="41"/>
      <c r="BM5" s="41"/>
      <c r="BN5" s="41"/>
      <c r="BO5" s="41"/>
      <c r="BP5" s="41"/>
    </row>
    <row r="6" spans="1:68">
      <c r="A6" s="210" t="s">
        <v>6338</v>
      </c>
      <c r="B6" s="210"/>
      <c r="C6" s="210" t="s">
        <v>6339</v>
      </c>
      <c r="D6" s="210"/>
      <c r="E6" s="210"/>
      <c r="F6" s="210" t="s">
        <v>6340</v>
      </c>
      <c r="G6" s="210"/>
      <c r="H6" s="210"/>
      <c r="I6" s="210" t="s">
        <v>6002</v>
      </c>
      <c r="J6" s="210"/>
      <c r="K6" s="210"/>
      <c r="L6" s="210"/>
      <c r="M6" s="210"/>
      <c r="N6" s="210" t="s">
        <v>6002</v>
      </c>
      <c r="O6" s="210"/>
      <c r="P6" s="210"/>
      <c r="Q6" s="210" t="s">
        <v>6339</v>
      </c>
      <c r="R6" s="210"/>
      <c r="S6" s="210"/>
      <c r="T6" s="210"/>
      <c r="U6" s="210" t="s">
        <v>6341</v>
      </c>
      <c r="V6" s="210"/>
      <c r="W6" s="210"/>
      <c r="X6" s="210"/>
      <c r="Y6" s="210" t="s">
        <v>5992</v>
      </c>
      <c r="Z6" s="210"/>
      <c r="AA6" s="210" t="s">
        <v>6342</v>
      </c>
      <c r="AB6" s="210"/>
      <c r="AC6" s="210"/>
      <c r="AD6" s="210" t="s">
        <v>6343</v>
      </c>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41"/>
      <c r="BF6" s="41"/>
      <c r="BG6" s="41"/>
      <c r="BH6" s="41"/>
      <c r="BI6" s="41"/>
      <c r="BJ6" s="41"/>
      <c r="BK6" s="41"/>
      <c r="BL6" s="41"/>
      <c r="BM6" s="41"/>
      <c r="BN6" s="41"/>
      <c r="BO6" s="41"/>
      <c r="BP6" s="41"/>
    </row>
    <row r="7" spans="1:68">
      <c r="A7" s="210" t="s">
        <v>6344</v>
      </c>
      <c r="B7" s="210"/>
      <c r="C7" s="210" t="s">
        <v>6345</v>
      </c>
      <c r="D7" s="210"/>
      <c r="E7" s="210"/>
      <c r="F7" s="210" t="s">
        <v>6346</v>
      </c>
      <c r="G7" s="210"/>
      <c r="H7" s="210"/>
      <c r="I7" s="210" t="s">
        <v>6002</v>
      </c>
      <c r="J7" s="210"/>
      <c r="K7" s="210"/>
      <c r="L7" s="210"/>
      <c r="M7" s="210"/>
      <c r="N7" s="210" t="s">
        <v>6002</v>
      </c>
      <c r="O7" s="210"/>
      <c r="P7" s="210"/>
      <c r="Q7" s="210" t="s">
        <v>6345</v>
      </c>
      <c r="R7" s="210"/>
      <c r="S7" s="210"/>
      <c r="T7" s="210"/>
      <c r="U7" s="210" t="s">
        <v>6347</v>
      </c>
      <c r="V7" s="210"/>
      <c r="W7" s="210"/>
      <c r="X7" s="210"/>
      <c r="Y7" s="210" t="s">
        <v>5992</v>
      </c>
      <c r="Z7" s="210"/>
      <c r="AA7" s="210" t="s">
        <v>6348</v>
      </c>
      <c r="AB7" s="210"/>
      <c r="AC7" s="210"/>
      <c r="AD7" s="210" t="s">
        <v>6349</v>
      </c>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41"/>
      <c r="BF7" s="41"/>
      <c r="BG7" s="41"/>
      <c r="BH7" s="41"/>
      <c r="BI7" s="41"/>
      <c r="BJ7" s="41"/>
      <c r="BK7" s="41"/>
      <c r="BL7" s="41"/>
      <c r="BM7" s="41"/>
      <c r="BN7" s="41"/>
      <c r="BO7" s="41"/>
      <c r="BP7" s="41"/>
    </row>
    <row r="8" spans="1:68">
      <c r="A8" s="210" t="s">
        <v>6350</v>
      </c>
      <c r="B8" s="210"/>
      <c r="C8" s="210" t="s">
        <v>6351</v>
      </c>
      <c r="D8" s="210"/>
      <c r="E8" s="210"/>
      <c r="F8" s="210" t="s">
        <v>6352</v>
      </c>
      <c r="G8" s="210"/>
      <c r="H8" s="210"/>
      <c r="I8" s="210" t="s">
        <v>6002</v>
      </c>
      <c r="J8" s="210"/>
      <c r="K8" s="210"/>
      <c r="L8" s="210"/>
      <c r="M8" s="210"/>
      <c r="N8" s="210" t="s">
        <v>6002</v>
      </c>
      <c r="O8" s="210"/>
      <c r="P8" s="210"/>
      <c r="Q8" s="210" t="s">
        <v>6351</v>
      </c>
      <c r="R8" s="210"/>
      <c r="S8" s="210"/>
      <c r="T8" s="210"/>
      <c r="U8" s="210" t="s">
        <v>6353</v>
      </c>
      <c r="V8" s="210"/>
      <c r="W8" s="210"/>
      <c r="X8" s="210"/>
      <c r="Y8" s="210" t="s">
        <v>6354</v>
      </c>
      <c r="Z8" s="210"/>
      <c r="AA8" s="210" t="s">
        <v>6050</v>
      </c>
      <c r="AB8" s="210"/>
      <c r="AC8" s="210"/>
      <c r="AD8" s="210" t="s">
        <v>6355</v>
      </c>
      <c r="AE8" s="210"/>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41"/>
      <c r="BF8" s="41"/>
      <c r="BG8" s="41"/>
      <c r="BH8" s="41"/>
      <c r="BI8" s="41"/>
      <c r="BJ8" s="41"/>
      <c r="BK8" s="41"/>
      <c r="BL8" s="41"/>
      <c r="BM8" s="41"/>
      <c r="BN8" s="41"/>
      <c r="BO8" s="41"/>
      <c r="BP8" s="41"/>
    </row>
    <row r="9" spans="1:68">
      <c r="A9" s="210" t="s">
        <v>6356</v>
      </c>
      <c r="B9" s="210"/>
      <c r="C9" s="210" t="s">
        <v>6357</v>
      </c>
      <c r="D9" s="210"/>
      <c r="E9" s="210"/>
      <c r="F9" s="210" t="s">
        <v>6358</v>
      </c>
      <c r="G9" s="210"/>
      <c r="H9" s="210"/>
      <c r="I9" s="210" t="s">
        <v>6002</v>
      </c>
      <c r="J9" s="210"/>
      <c r="K9" s="210"/>
      <c r="L9" s="210"/>
      <c r="M9" s="210"/>
      <c r="N9" s="210" t="s">
        <v>6002</v>
      </c>
      <c r="O9" s="210"/>
      <c r="P9" s="210"/>
      <c r="Q9" s="210" t="s">
        <v>6357</v>
      </c>
      <c r="R9" s="210"/>
      <c r="S9" s="210"/>
      <c r="T9" s="210"/>
      <c r="U9" s="210" t="s">
        <v>6359</v>
      </c>
      <c r="V9" s="210"/>
      <c r="W9" s="210"/>
      <c r="X9" s="210"/>
      <c r="Y9" s="210" t="s">
        <v>6354</v>
      </c>
      <c r="Z9" s="210"/>
      <c r="AA9" s="210" t="s">
        <v>6322</v>
      </c>
      <c r="AB9" s="210"/>
      <c r="AC9" s="210"/>
      <c r="AD9" s="210" t="s">
        <v>6360</v>
      </c>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41"/>
      <c r="BF9" s="41"/>
      <c r="BG9" s="41"/>
      <c r="BH9" s="41"/>
      <c r="BI9" s="41"/>
      <c r="BJ9" s="41"/>
      <c r="BK9" s="41"/>
      <c r="BL9" s="41"/>
      <c r="BM9" s="41"/>
      <c r="BN9" s="41"/>
      <c r="BO9" s="41"/>
      <c r="BP9" s="41"/>
    </row>
    <row r="10" spans="1:68">
      <c r="A10" s="210" t="s">
        <v>6361</v>
      </c>
      <c r="B10" s="210"/>
      <c r="C10" s="210" t="s">
        <v>6362</v>
      </c>
      <c r="D10" s="210"/>
      <c r="E10" s="210"/>
      <c r="F10" s="210" t="s">
        <v>6363</v>
      </c>
      <c r="G10" s="210"/>
      <c r="H10" s="210"/>
      <c r="I10" s="210" t="s">
        <v>6002</v>
      </c>
      <c r="J10" s="210"/>
      <c r="K10" s="210"/>
      <c r="L10" s="210"/>
      <c r="M10" s="210"/>
      <c r="N10" s="210" t="s">
        <v>6002</v>
      </c>
      <c r="O10" s="210"/>
      <c r="P10" s="210"/>
      <c r="Q10" s="210" t="s">
        <v>6362</v>
      </c>
      <c r="R10" s="210"/>
      <c r="S10" s="210"/>
      <c r="T10" s="210"/>
      <c r="U10" s="210" t="s">
        <v>6364</v>
      </c>
      <c r="V10" s="210"/>
      <c r="W10" s="210"/>
      <c r="X10" s="210"/>
      <c r="Y10" s="210" t="s">
        <v>6354</v>
      </c>
      <c r="Z10" s="210"/>
      <c r="AA10" s="210" t="s">
        <v>6365</v>
      </c>
      <c r="AB10" s="210"/>
      <c r="AC10" s="210"/>
      <c r="AD10" s="210" t="s">
        <v>6366</v>
      </c>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41"/>
      <c r="BF10" s="41"/>
      <c r="BG10" s="41"/>
      <c r="BH10" s="41"/>
      <c r="BI10" s="41"/>
      <c r="BJ10" s="41"/>
      <c r="BK10" s="41"/>
      <c r="BL10" s="41"/>
      <c r="BM10" s="41"/>
      <c r="BN10" s="41"/>
      <c r="BO10" s="41"/>
      <c r="BP10" s="41"/>
    </row>
    <row r="11" spans="1:68">
      <c r="A11" s="210" t="s">
        <v>6367</v>
      </c>
      <c r="B11" s="210"/>
      <c r="C11" s="210" t="s">
        <v>6368</v>
      </c>
      <c r="D11" s="210"/>
      <c r="E11" s="210"/>
      <c r="F11" s="210" t="s">
        <v>6369</v>
      </c>
      <c r="G11" s="210"/>
      <c r="H11" s="210"/>
      <c r="I11" s="210" t="s">
        <v>6002</v>
      </c>
      <c r="J11" s="210"/>
      <c r="K11" s="210"/>
      <c r="L11" s="210"/>
      <c r="M11" s="210"/>
      <c r="N11" s="210" t="s">
        <v>6002</v>
      </c>
      <c r="O11" s="210"/>
      <c r="P11" s="210"/>
      <c r="Q11" s="210" t="s">
        <v>6368</v>
      </c>
      <c r="R11" s="210"/>
      <c r="S11" s="210"/>
      <c r="T11" s="210"/>
      <c r="U11" s="210" t="s">
        <v>6370</v>
      </c>
      <c r="V11" s="210"/>
      <c r="W11" s="210"/>
      <c r="X11" s="210"/>
      <c r="Y11" s="210" t="s">
        <v>6354</v>
      </c>
      <c r="Z11" s="210"/>
      <c r="AA11" s="210" t="s">
        <v>6268</v>
      </c>
      <c r="AB11" s="210"/>
      <c r="AC11" s="210"/>
      <c r="AD11" s="210" t="s">
        <v>6371</v>
      </c>
      <c r="AE11" s="210"/>
      <c r="AF11" s="210"/>
      <c r="AG11" s="210"/>
      <c r="AH11" s="210"/>
      <c r="AI11" s="210"/>
      <c r="AJ11" s="210"/>
      <c r="AK11" s="210"/>
      <c r="AL11" s="210"/>
      <c r="AM11" s="210"/>
      <c r="AN11" s="210"/>
      <c r="AO11" s="210"/>
      <c r="AP11" s="210"/>
      <c r="AQ11" s="210"/>
      <c r="AR11" s="210"/>
      <c r="AS11" s="210"/>
      <c r="AT11" s="210"/>
      <c r="AU11" s="210"/>
      <c r="AV11" s="210"/>
      <c r="AW11" s="210"/>
      <c r="AX11" s="210"/>
      <c r="AY11" s="210"/>
      <c r="AZ11" s="210"/>
      <c r="BA11" s="210"/>
      <c r="BB11" s="210"/>
      <c r="BC11" s="210"/>
      <c r="BD11" s="210"/>
      <c r="BE11" s="41"/>
      <c r="BF11" s="41"/>
      <c r="BG11" s="41"/>
      <c r="BH11" s="41"/>
      <c r="BI11" s="41"/>
      <c r="BJ11" s="41"/>
      <c r="BK11" s="41"/>
      <c r="BL11" s="41"/>
      <c r="BM11" s="41"/>
      <c r="BN11" s="41"/>
      <c r="BO11" s="41"/>
      <c r="BP11" s="41"/>
    </row>
    <row r="12" spans="1:68">
      <c r="A12" s="210" t="s">
        <v>6372</v>
      </c>
      <c r="B12" s="210"/>
      <c r="C12" s="210" t="s">
        <v>6373</v>
      </c>
      <c r="D12" s="210"/>
      <c r="E12" s="210"/>
      <c r="F12" s="210" t="s">
        <v>6374</v>
      </c>
      <c r="G12" s="210"/>
      <c r="H12" s="210"/>
      <c r="I12" s="210" t="s">
        <v>6002</v>
      </c>
      <c r="J12" s="210"/>
      <c r="K12" s="210"/>
      <c r="L12" s="210"/>
      <c r="M12" s="210"/>
      <c r="N12" s="210" t="s">
        <v>6002</v>
      </c>
      <c r="O12" s="210"/>
      <c r="P12" s="210"/>
      <c r="Q12" s="210" t="s">
        <v>6373</v>
      </c>
      <c r="R12" s="210"/>
      <c r="S12" s="210"/>
      <c r="T12" s="210"/>
      <c r="U12" s="210" t="s">
        <v>6375</v>
      </c>
      <c r="V12" s="210"/>
      <c r="W12" s="210"/>
      <c r="X12" s="210"/>
      <c r="Y12" s="210" t="s">
        <v>5992</v>
      </c>
      <c r="Z12" s="210"/>
      <c r="AA12" s="210" t="s">
        <v>6322</v>
      </c>
      <c r="AB12" s="210"/>
      <c r="AC12" s="210"/>
      <c r="AD12" s="210" t="s">
        <v>6376</v>
      </c>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41"/>
      <c r="BF12" s="41"/>
      <c r="BG12" s="41"/>
      <c r="BH12" s="41"/>
      <c r="BI12" s="41"/>
      <c r="BJ12" s="41"/>
      <c r="BK12" s="41"/>
      <c r="BL12" s="41"/>
      <c r="BM12" s="41"/>
      <c r="BN12" s="41"/>
      <c r="BO12" s="41"/>
      <c r="BP12" s="41"/>
    </row>
    <row r="13" spans="1:68">
      <c r="A13" s="210" t="s">
        <v>6377</v>
      </c>
      <c r="B13" s="210"/>
      <c r="C13" s="210" t="s">
        <v>6378</v>
      </c>
      <c r="D13" s="210"/>
      <c r="E13" s="210"/>
      <c r="F13" s="210" t="s">
        <v>6379</v>
      </c>
      <c r="G13" s="210"/>
      <c r="H13" s="210"/>
      <c r="I13" s="210" t="s">
        <v>6002</v>
      </c>
      <c r="J13" s="210"/>
      <c r="K13" s="210"/>
      <c r="L13" s="210"/>
      <c r="M13" s="210"/>
      <c r="N13" s="210" t="s">
        <v>6002</v>
      </c>
      <c r="O13" s="210"/>
      <c r="P13" s="210"/>
      <c r="Q13" s="210" t="s">
        <v>6378</v>
      </c>
      <c r="R13" s="210"/>
      <c r="S13" s="210"/>
      <c r="T13" s="210"/>
      <c r="U13" s="210" t="s">
        <v>6380</v>
      </c>
      <c r="V13" s="210"/>
      <c r="W13" s="210"/>
      <c r="X13" s="210"/>
      <c r="Y13" s="210" t="s">
        <v>5992</v>
      </c>
      <c r="Z13" s="210"/>
      <c r="AA13" s="210" t="s">
        <v>6381</v>
      </c>
      <c r="AB13" s="210"/>
      <c r="AC13" s="210"/>
      <c r="AD13" s="210" t="s">
        <v>6382</v>
      </c>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41"/>
      <c r="BF13" s="41"/>
      <c r="BG13" s="41"/>
      <c r="BH13" s="41"/>
      <c r="BI13" s="41"/>
      <c r="BJ13" s="41"/>
      <c r="BK13" s="41"/>
      <c r="BL13" s="41"/>
      <c r="BM13" s="41"/>
      <c r="BN13" s="41"/>
      <c r="BO13" s="41"/>
      <c r="BP13" s="41"/>
    </row>
    <row r="14" spans="1:68">
      <c r="A14" s="210" t="s">
        <v>5992</v>
      </c>
      <c r="B14" s="210"/>
      <c r="C14" s="210" t="s">
        <v>6383</v>
      </c>
      <c r="D14" s="210"/>
      <c r="E14" s="210"/>
      <c r="F14" s="210" t="s">
        <v>6374</v>
      </c>
      <c r="G14" s="210"/>
      <c r="H14" s="210"/>
      <c r="I14" s="210" t="s">
        <v>6002</v>
      </c>
      <c r="J14" s="210"/>
      <c r="K14" s="210"/>
      <c r="L14" s="210"/>
      <c r="M14" s="210"/>
      <c r="N14" s="210" t="s">
        <v>6002</v>
      </c>
      <c r="O14" s="210"/>
      <c r="P14" s="210"/>
      <c r="Q14" s="210" t="s">
        <v>6383</v>
      </c>
      <c r="R14" s="210"/>
      <c r="S14" s="210"/>
      <c r="T14" s="210"/>
      <c r="U14" s="210" t="s">
        <v>6384</v>
      </c>
      <c r="V14" s="210"/>
      <c r="W14" s="210"/>
      <c r="X14" s="210"/>
      <c r="Y14" s="210" t="s">
        <v>5992</v>
      </c>
      <c r="Z14" s="210"/>
      <c r="AA14" s="210" t="s">
        <v>6385</v>
      </c>
      <c r="AB14" s="210"/>
      <c r="AC14" s="210"/>
      <c r="AD14" s="210" t="s">
        <v>6386</v>
      </c>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41"/>
      <c r="BF14" s="41"/>
      <c r="BG14" s="41"/>
      <c r="BH14" s="41"/>
      <c r="BI14" s="41"/>
      <c r="BJ14" s="41"/>
      <c r="BK14" s="41"/>
      <c r="BL14" s="41"/>
      <c r="BM14" s="41"/>
      <c r="BN14" s="41"/>
      <c r="BO14" s="41"/>
      <c r="BP14" s="41"/>
    </row>
    <row r="15" spans="1:68">
      <c r="A15" s="210" t="s">
        <v>6387</v>
      </c>
      <c r="B15" s="210"/>
      <c r="C15" s="210" t="s">
        <v>6388</v>
      </c>
      <c r="D15" s="210"/>
      <c r="E15" s="210"/>
      <c r="F15" s="210" t="s">
        <v>6389</v>
      </c>
      <c r="G15" s="210"/>
      <c r="H15" s="210"/>
      <c r="I15" s="210" t="s">
        <v>6002</v>
      </c>
      <c r="J15" s="210"/>
      <c r="K15" s="210"/>
      <c r="L15" s="210"/>
      <c r="M15" s="210"/>
      <c r="N15" s="210" t="s">
        <v>6002</v>
      </c>
      <c r="O15" s="210"/>
      <c r="P15" s="210"/>
      <c r="Q15" s="210" t="s">
        <v>6388</v>
      </c>
      <c r="R15" s="210"/>
      <c r="S15" s="210"/>
      <c r="T15" s="210"/>
      <c r="U15" s="210" t="s">
        <v>6390</v>
      </c>
      <c r="V15" s="210"/>
      <c r="W15" s="210"/>
      <c r="X15" s="210"/>
      <c r="Y15" s="210" t="s">
        <v>6354</v>
      </c>
      <c r="Z15" s="210"/>
      <c r="AA15" s="210" t="s">
        <v>6268</v>
      </c>
      <c r="AB15" s="210"/>
      <c r="AC15" s="210"/>
      <c r="AD15" s="210" t="s">
        <v>6391</v>
      </c>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41"/>
      <c r="BF15" s="41"/>
      <c r="BG15" s="41"/>
      <c r="BH15" s="41"/>
      <c r="BI15" s="41"/>
      <c r="BJ15" s="41"/>
      <c r="BK15" s="41"/>
      <c r="BL15" s="41"/>
      <c r="BM15" s="41"/>
      <c r="BN15" s="41"/>
      <c r="BO15" s="41"/>
      <c r="BP15" s="41"/>
    </row>
    <row r="16" spans="1:68">
      <c r="A16" s="210" t="s">
        <v>6392</v>
      </c>
      <c r="B16" s="210"/>
      <c r="C16" s="210" t="s">
        <v>6393</v>
      </c>
      <c r="D16" s="210"/>
      <c r="E16" s="210"/>
      <c r="F16" s="210" t="s">
        <v>6394</v>
      </c>
      <c r="G16" s="210"/>
      <c r="H16" s="210"/>
      <c r="I16" s="210" t="s">
        <v>6002</v>
      </c>
      <c r="J16" s="210"/>
      <c r="K16" s="210"/>
      <c r="L16" s="210"/>
      <c r="M16" s="210"/>
      <c r="N16" s="210" t="s">
        <v>6002</v>
      </c>
      <c r="O16" s="210"/>
      <c r="P16" s="210"/>
      <c r="Q16" s="210" t="s">
        <v>6393</v>
      </c>
      <c r="R16" s="210"/>
      <c r="S16" s="210"/>
      <c r="T16" s="210"/>
      <c r="U16" s="210" t="s">
        <v>6393</v>
      </c>
      <c r="V16" s="210"/>
      <c r="W16" s="210"/>
      <c r="X16" s="210"/>
      <c r="Y16" s="210" t="s">
        <v>6392</v>
      </c>
      <c r="Z16" s="210"/>
      <c r="AA16" s="210" t="s">
        <v>6247</v>
      </c>
      <c r="AB16" s="210"/>
      <c r="AC16" s="210"/>
      <c r="AD16" s="210" t="s">
        <v>6395</v>
      </c>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41"/>
      <c r="BF16" s="41"/>
      <c r="BG16" s="41"/>
      <c r="BH16" s="41"/>
      <c r="BI16" s="41"/>
      <c r="BJ16" s="41"/>
      <c r="BK16" s="41"/>
      <c r="BL16" s="41"/>
      <c r="BM16" s="41"/>
      <c r="BN16" s="41"/>
      <c r="BO16" s="41"/>
      <c r="BP16" s="41"/>
    </row>
    <row r="17" spans="1:68">
      <c r="A17" s="210" t="s">
        <v>6392</v>
      </c>
      <c r="B17" s="210"/>
      <c r="C17" s="210" t="s">
        <v>6396</v>
      </c>
      <c r="D17" s="210"/>
      <c r="E17" s="210"/>
      <c r="F17" s="210" t="s">
        <v>6397</v>
      </c>
      <c r="G17" s="210"/>
      <c r="H17" s="210"/>
      <c r="I17" s="210" t="s">
        <v>6002</v>
      </c>
      <c r="J17" s="210"/>
      <c r="K17" s="210"/>
      <c r="L17" s="210"/>
      <c r="M17" s="210"/>
      <c r="N17" s="210" t="s">
        <v>6002</v>
      </c>
      <c r="O17" s="210"/>
      <c r="P17" s="210"/>
      <c r="Q17" s="210" t="s">
        <v>6396</v>
      </c>
      <c r="R17" s="210"/>
      <c r="S17" s="210"/>
      <c r="T17" s="210"/>
      <c r="U17" s="210" t="s">
        <v>6396</v>
      </c>
      <c r="V17" s="210"/>
      <c r="W17" s="210"/>
      <c r="X17" s="210"/>
      <c r="Y17" s="210" t="s">
        <v>6392</v>
      </c>
      <c r="Z17" s="210"/>
      <c r="AA17" s="210" t="s">
        <v>6398</v>
      </c>
      <c r="AB17" s="210"/>
      <c r="AC17" s="210"/>
      <c r="AD17" s="210" t="s">
        <v>6399</v>
      </c>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41"/>
      <c r="BF17" s="41"/>
      <c r="BG17" s="41"/>
      <c r="BH17" s="41"/>
      <c r="BI17" s="41"/>
      <c r="BJ17" s="41"/>
      <c r="BK17" s="41"/>
      <c r="BL17" s="41"/>
      <c r="BM17" s="41"/>
      <c r="BN17" s="41"/>
      <c r="BO17" s="41"/>
      <c r="BP17" s="41"/>
    </row>
    <row r="18" spans="1:68">
      <c r="A18" s="210" t="s">
        <v>6400</v>
      </c>
      <c r="B18" s="210"/>
      <c r="C18" s="210" t="s">
        <v>6401</v>
      </c>
      <c r="D18" s="210"/>
      <c r="E18" s="210"/>
      <c r="F18" s="210" t="s">
        <v>6180</v>
      </c>
      <c r="G18" s="210"/>
      <c r="H18" s="210"/>
      <c r="I18" s="210" t="s">
        <v>6002</v>
      </c>
      <c r="J18" s="210"/>
      <c r="K18" s="210"/>
      <c r="L18" s="210"/>
      <c r="M18" s="210"/>
      <c r="N18" s="210" t="s">
        <v>6002</v>
      </c>
      <c r="O18" s="210"/>
      <c r="P18" s="210"/>
      <c r="Q18" s="210" t="s">
        <v>6401</v>
      </c>
      <c r="R18" s="210"/>
      <c r="S18" s="210"/>
      <c r="T18" s="210"/>
      <c r="U18" s="210" t="s">
        <v>6402</v>
      </c>
      <c r="V18" s="210"/>
      <c r="W18" s="210"/>
      <c r="X18" s="210"/>
      <c r="Y18" s="210" t="s">
        <v>6354</v>
      </c>
      <c r="Z18" s="210"/>
      <c r="AA18" s="210" t="s">
        <v>6268</v>
      </c>
      <c r="AB18" s="210"/>
      <c r="AC18" s="210"/>
      <c r="AD18" s="210" t="s">
        <v>6403</v>
      </c>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41"/>
      <c r="BF18" s="41"/>
      <c r="BG18" s="41"/>
      <c r="BH18" s="41"/>
      <c r="BI18" s="41"/>
      <c r="BJ18" s="41"/>
      <c r="BK18" s="41"/>
      <c r="BL18" s="41"/>
      <c r="BM18" s="41"/>
      <c r="BN18" s="41"/>
      <c r="BO18" s="41"/>
      <c r="BP18" s="41"/>
    </row>
    <row r="19" spans="1:68">
      <c r="A19" s="210" t="s">
        <v>6404</v>
      </c>
      <c r="B19" s="210"/>
      <c r="C19" s="210" t="s">
        <v>6405</v>
      </c>
      <c r="D19" s="210"/>
      <c r="E19" s="210"/>
      <c r="F19" s="210" t="s">
        <v>6078</v>
      </c>
      <c r="G19" s="210"/>
      <c r="H19" s="210"/>
      <c r="I19" s="210" t="s">
        <v>6002</v>
      </c>
      <c r="J19" s="210"/>
      <c r="K19" s="210"/>
      <c r="L19" s="210"/>
      <c r="M19" s="210"/>
      <c r="N19" s="210" t="s">
        <v>6002</v>
      </c>
      <c r="O19" s="210"/>
      <c r="P19" s="210"/>
      <c r="Q19" s="210" t="s">
        <v>6405</v>
      </c>
      <c r="R19" s="210"/>
      <c r="S19" s="210"/>
      <c r="T19" s="210"/>
      <c r="U19" s="210" t="s">
        <v>6385</v>
      </c>
      <c r="V19" s="210"/>
      <c r="W19" s="210"/>
      <c r="X19" s="210"/>
      <c r="Y19" s="210" t="s">
        <v>5992</v>
      </c>
      <c r="Z19" s="210"/>
      <c r="AA19" s="210" t="s">
        <v>6406</v>
      </c>
      <c r="AB19" s="210"/>
      <c r="AC19" s="210"/>
      <c r="AD19" s="210" t="s">
        <v>6407</v>
      </c>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41"/>
      <c r="BF19" s="41"/>
      <c r="BG19" s="41"/>
      <c r="BH19" s="41"/>
      <c r="BI19" s="41"/>
      <c r="BJ19" s="41"/>
      <c r="BK19" s="41"/>
      <c r="BL19" s="41"/>
      <c r="BM19" s="41"/>
      <c r="BN19" s="41"/>
      <c r="BO19" s="41"/>
      <c r="BP19" s="41"/>
    </row>
    <row r="20" spans="1:68">
      <c r="A20" s="210" t="s">
        <v>6408</v>
      </c>
      <c r="B20" s="210"/>
      <c r="C20" s="210" t="s">
        <v>6409</v>
      </c>
      <c r="D20" s="210"/>
      <c r="E20" s="210"/>
      <c r="F20" s="210" t="s">
        <v>6053</v>
      </c>
      <c r="G20" s="210"/>
      <c r="H20" s="210"/>
      <c r="I20" s="210" t="s">
        <v>6002</v>
      </c>
      <c r="J20" s="210"/>
      <c r="K20" s="210"/>
      <c r="L20" s="210"/>
      <c r="M20" s="210"/>
      <c r="N20" s="210" t="s">
        <v>6002</v>
      </c>
      <c r="O20" s="210"/>
      <c r="P20" s="210"/>
      <c r="Q20" s="210" t="s">
        <v>6409</v>
      </c>
      <c r="R20" s="210"/>
      <c r="S20" s="210"/>
      <c r="T20" s="210"/>
      <c r="U20" s="210" t="s">
        <v>6410</v>
      </c>
      <c r="V20" s="210"/>
      <c r="W20" s="210"/>
      <c r="X20" s="210"/>
      <c r="Y20" s="210" t="s">
        <v>6392</v>
      </c>
      <c r="Z20" s="210"/>
      <c r="AA20" s="210" t="s">
        <v>6192</v>
      </c>
      <c r="AB20" s="210"/>
      <c r="AC20" s="210"/>
      <c r="AD20" s="210" t="s">
        <v>6411</v>
      </c>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41"/>
      <c r="BF20" s="41"/>
      <c r="BG20" s="41"/>
      <c r="BH20" s="41"/>
      <c r="BI20" s="41"/>
      <c r="BJ20" s="41"/>
      <c r="BK20" s="41"/>
      <c r="BL20" s="41"/>
      <c r="BM20" s="41"/>
      <c r="BN20" s="41"/>
      <c r="BO20" s="41"/>
      <c r="BP20" s="41"/>
    </row>
    <row r="21" spans="1:68">
      <c r="A21" s="210" t="s">
        <v>6354</v>
      </c>
      <c r="B21" s="210"/>
      <c r="C21" s="210" t="s">
        <v>5992</v>
      </c>
      <c r="D21" s="210"/>
      <c r="E21" s="210"/>
      <c r="F21" s="210" t="s">
        <v>6374</v>
      </c>
      <c r="G21" s="210"/>
      <c r="H21" s="210"/>
      <c r="I21" s="210" t="s">
        <v>6002</v>
      </c>
      <c r="J21" s="210"/>
      <c r="K21" s="210"/>
      <c r="L21" s="210"/>
      <c r="M21" s="210"/>
      <c r="N21" s="210" t="s">
        <v>6002</v>
      </c>
      <c r="O21" s="210"/>
      <c r="P21" s="210"/>
      <c r="Q21" s="210" t="s">
        <v>5992</v>
      </c>
      <c r="R21" s="210"/>
      <c r="S21" s="210"/>
      <c r="T21" s="210"/>
      <c r="U21" s="210" t="s">
        <v>6383</v>
      </c>
      <c r="V21" s="210"/>
      <c r="W21" s="210"/>
      <c r="X21" s="210"/>
      <c r="Y21" s="210" t="s">
        <v>6354</v>
      </c>
      <c r="Z21" s="210"/>
      <c r="AA21" s="210" t="s">
        <v>5992</v>
      </c>
      <c r="AB21" s="210"/>
      <c r="AC21" s="210"/>
      <c r="AD21" s="210" t="s">
        <v>6412</v>
      </c>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41"/>
      <c r="BF21" s="41"/>
      <c r="BG21" s="41"/>
      <c r="BH21" s="41"/>
      <c r="BI21" s="41"/>
      <c r="BJ21" s="41"/>
      <c r="BK21" s="41"/>
      <c r="BL21" s="41"/>
      <c r="BM21" s="41"/>
      <c r="BN21" s="41"/>
      <c r="BO21" s="41"/>
      <c r="BP21" s="41"/>
    </row>
    <row r="22" spans="1:68">
      <c r="A22" s="210" t="s">
        <v>6413</v>
      </c>
      <c r="B22" s="210"/>
      <c r="C22" s="210" t="s">
        <v>6414</v>
      </c>
      <c r="D22" s="210"/>
      <c r="E22" s="210"/>
      <c r="F22" s="210" t="s">
        <v>6299</v>
      </c>
      <c r="G22" s="210"/>
      <c r="H22" s="210"/>
      <c r="I22" s="210" t="s">
        <v>6002</v>
      </c>
      <c r="J22" s="210"/>
      <c r="K22" s="210"/>
      <c r="L22" s="210"/>
      <c r="M22" s="210"/>
      <c r="N22" s="210" t="s">
        <v>6002</v>
      </c>
      <c r="O22" s="210"/>
      <c r="P22" s="210"/>
      <c r="Q22" s="210" t="s">
        <v>6414</v>
      </c>
      <c r="R22" s="210"/>
      <c r="S22" s="210"/>
      <c r="T22" s="210"/>
      <c r="U22" s="210" t="s">
        <v>6415</v>
      </c>
      <c r="V22" s="210"/>
      <c r="W22" s="210"/>
      <c r="X22" s="210"/>
      <c r="Y22" s="210" t="s">
        <v>6354</v>
      </c>
      <c r="Z22" s="210"/>
      <c r="AA22" s="210" t="s">
        <v>6416</v>
      </c>
      <c r="AB22" s="210"/>
      <c r="AC22" s="210"/>
      <c r="AD22" s="210" t="s">
        <v>6417</v>
      </c>
      <c r="AE22" s="210"/>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41"/>
      <c r="BF22" s="41"/>
      <c r="BG22" s="41"/>
      <c r="BH22" s="41"/>
      <c r="BI22" s="41"/>
      <c r="BJ22" s="41"/>
      <c r="BK22" s="41"/>
      <c r="BL22" s="41"/>
      <c r="BM22" s="41"/>
      <c r="BN22" s="41"/>
      <c r="BO22" s="41"/>
      <c r="BP22" s="41"/>
    </row>
    <row r="23" spans="1:68">
      <c r="A23" s="210" t="s">
        <v>5992</v>
      </c>
      <c r="B23" s="210"/>
      <c r="C23" s="210" t="s">
        <v>6418</v>
      </c>
      <c r="D23" s="210"/>
      <c r="E23" s="210"/>
      <c r="F23" s="210" t="s">
        <v>6299</v>
      </c>
      <c r="G23" s="210"/>
      <c r="H23" s="210"/>
      <c r="I23" s="210" t="s">
        <v>6002</v>
      </c>
      <c r="J23" s="210"/>
      <c r="K23" s="210"/>
      <c r="L23" s="210"/>
      <c r="M23" s="210"/>
      <c r="N23" s="210" t="s">
        <v>6002</v>
      </c>
      <c r="O23" s="210"/>
      <c r="P23" s="210"/>
      <c r="Q23" s="210" t="s">
        <v>6418</v>
      </c>
      <c r="R23" s="210"/>
      <c r="S23" s="210"/>
      <c r="T23" s="210"/>
      <c r="U23" s="210" t="s">
        <v>6354</v>
      </c>
      <c r="V23" s="210"/>
      <c r="W23" s="210"/>
      <c r="X23" s="210"/>
      <c r="Y23" s="210" t="s">
        <v>5992</v>
      </c>
      <c r="Z23" s="210"/>
      <c r="AA23" s="210" t="s">
        <v>6419</v>
      </c>
      <c r="AB23" s="210"/>
      <c r="AC23" s="210"/>
      <c r="AD23" s="210" t="s">
        <v>6420</v>
      </c>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41"/>
      <c r="BF23" s="41"/>
      <c r="BG23" s="41"/>
      <c r="BH23" s="41"/>
      <c r="BI23" s="41"/>
      <c r="BJ23" s="41"/>
      <c r="BK23" s="41"/>
      <c r="BL23" s="41"/>
      <c r="BM23" s="41"/>
      <c r="BN23" s="41"/>
      <c r="BO23" s="41"/>
      <c r="BP23" s="41"/>
    </row>
    <row r="24" spans="1:68">
      <c r="A24" s="210" t="s">
        <v>6002</v>
      </c>
      <c r="B24" s="210"/>
      <c r="C24" s="210" t="s">
        <v>6421</v>
      </c>
      <c r="D24" s="210"/>
      <c r="E24" s="210"/>
      <c r="F24" s="210" t="s">
        <v>6299</v>
      </c>
      <c r="G24" s="210"/>
      <c r="H24" s="210"/>
      <c r="I24" s="210" t="s">
        <v>6002</v>
      </c>
      <c r="J24" s="210"/>
      <c r="K24" s="210"/>
      <c r="L24" s="210"/>
      <c r="M24" s="210"/>
      <c r="N24" s="210" t="s">
        <v>6002</v>
      </c>
      <c r="O24" s="210"/>
      <c r="P24" s="210"/>
      <c r="Q24" s="210" t="s">
        <v>6421</v>
      </c>
      <c r="R24" s="210"/>
      <c r="S24" s="210"/>
      <c r="T24" s="210"/>
      <c r="U24" s="210" t="s">
        <v>6002</v>
      </c>
      <c r="V24" s="210"/>
      <c r="W24" s="210"/>
      <c r="X24" s="210"/>
      <c r="Y24" s="210" t="s">
        <v>6002</v>
      </c>
      <c r="Z24" s="210"/>
      <c r="AA24" s="210" t="s">
        <v>6002</v>
      </c>
      <c r="AB24" s="210"/>
      <c r="AC24" s="210"/>
      <c r="AD24" s="210" t="s">
        <v>6422</v>
      </c>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41"/>
      <c r="BF24" s="41"/>
      <c r="BG24" s="41"/>
      <c r="BH24" s="41"/>
      <c r="BI24" s="41"/>
      <c r="BJ24" s="41"/>
      <c r="BK24" s="41"/>
      <c r="BL24" s="41"/>
      <c r="BM24" s="41"/>
      <c r="BN24" s="41"/>
      <c r="BO24" s="41"/>
      <c r="BP24" s="41"/>
    </row>
    <row r="25" spans="1:68">
      <c r="A25" s="210"/>
      <c r="B25" s="210"/>
      <c r="C25" s="210" t="s">
        <v>6423</v>
      </c>
      <c r="D25" s="210"/>
      <c r="E25" s="210"/>
      <c r="F25" s="210"/>
      <c r="G25" s="210"/>
      <c r="H25" s="210" t="s">
        <v>6332</v>
      </c>
      <c r="I25" s="210"/>
      <c r="J25" s="210"/>
      <c r="K25" s="210"/>
      <c r="L25" s="210" t="s">
        <v>6424</v>
      </c>
      <c r="M25" s="210"/>
      <c r="N25" s="210"/>
      <c r="O25" s="210"/>
      <c r="P25" s="210"/>
      <c r="Q25" s="210"/>
      <c r="R25" s="210"/>
      <c r="S25" s="210"/>
      <c r="T25" s="210" t="s">
        <v>4923</v>
      </c>
      <c r="U25" s="210"/>
      <c r="V25" s="210"/>
      <c r="W25" s="210"/>
      <c r="X25" s="210"/>
      <c r="Y25" s="210"/>
      <c r="Z25" s="210"/>
      <c r="AA25" s="210"/>
      <c r="AB25" s="210"/>
      <c r="AC25" s="210"/>
      <c r="AD25" s="210"/>
      <c r="AE25" s="210"/>
      <c r="AF25" s="210"/>
      <c r="AG25" s="210"/>
      <c r="AH25" s="210"/>
      <c r="AI25" s="210"/>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41"/>
      <c r="BF25" s="41"/>
      <c r="BG25" s="41"/>
      <c r="BH25" s="41"/>
      <c r="BI25" s="41"/>
      <c r="BJ25" s="41"/>
      <c r="BK25" s="41"/>
      <c r="BL25" s="41"/>
      <c r="BM25" s="41"/>
      <c r="BN25" s="41"/>
      <c r="BO25" s="41"/>
      <c r="BP25" s="41"/>
    </row>
    <row r="26" spans="1:68">
      <c r="A26" s="210"/>
      <c r="B26" s="210"/>
      <c r="C26" s="210"/>
      <c r="D26" s="210"/>
      <c r="E26" s="210"/>
      <c r="F26" s="210"/>
      <c r="G26" s="210"/>
      <c r="H26" s="210"/>
      <c r="I26" s="210"/>
      <c r="J26" s="210"/>
      <c r="K26" s="210"/>
      <c r="L26" s="210"/>
      <c r="M26" s="210"/>
      <c r="N26" s="210"/>
      <c r="O26" s="210"/>
      <c r="P26" s="210"/>
      <c r="Q26" s="210"/>
      <c r="R26" s="210"/>
      <c r="S26" s="210"/>
      <c r="T26" s="210" t="s">
        <v>6425</v>
      </c>
      <c r="U26" s="210"/>
      <c r="V26" s="210"/>
      <c r="W26" s="210"/>
      <c r="X26" s="210"/>
      <c r="Y26" s="210"/>
      <c r="Z26" s="210"/>
      <c r="AA26" s="210"/>
      <c r="AB26" s="210"/>
      <c r="AC26" s="210"/>
      <c r="AD26" s="210"/>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41"/>
      <c r="BF26" s="41"/>
      <c r="BG26" s="41"/>
      <c r="BH26" s="41"/>
      <c r="BI26" s="41"/>
      <c r="BJ26" s="41"/>
      <c r="BK26" s="41"/>
      <c r="BL26" s="41"/>
      <c r="BM26" s="41"/>
      <c r="BN26" s="41"/>
      <c r="BO26" s="41"/>
      <c r="BP26" s="41"/>
    </row>
    <row r="27" spans="1:68">
      <c r="A27" s="210"/>
      <c r="B27" s="210"/>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41"/>
      <c r="BF27" s="41"/>
      <c r="BG27" s="41"/>
      <c r="BH27" s="41"/>
      <c r="BI27" s="41"/>
      <c r="BJ27" s="41"/>
      <c r="BK27" s="41"/>
      <c r="BL27" s="41"/>
      <c r="BM27" s="41"/>
      <c r="BN27" s="41"/>
      <c r="BO27" s="41"/>
      <c r="BP27" s="41"/>
    </row>
    <row r="28" spans="1:68">
      <c r="A28" s="210" t="s">
        <v>6426</v>
      </c>
      <c r="B28" s="210"/>
      <c r="C28" s="210"/>
      <c r="D28" s="210"/>
      <c r="E28" s="210"/>
      <c r="F28" s="210" t="s">
        <v>6427</v>
      </c>
      <c r="G28" s="210"/>
      <c r="H28" s="210"/>
      <c r="I28" s="210"/>
      <c r="J28" s="210"/>
      <c r="K28" s="210"/>
      <c r="L28" s="210"/>
      <c r="M28" s="210"/>
      <c r="N28" s="210"/>
      <c r="O28" s="210"/>
      <c r="P28" s="210"/>
      <c r="Q28" s="210" t="s">
        <v>6327</v>
      </c>
      <c r="R28" s="210"/>
      <c r="S28" s="210"/>
      <c r="T28" s="210"/>
      <c r="U28" s="210" t="s">
        <v>5986</v>
      </c>
      <c r="V28" s="210"/>
      <c r="W28" s="210"/>
      <c r="X28" s="210"/>
      <c r="Y28" s="210"/>
      <c r="Z28" s="210"/>
      <c r="AA28" s="210"/>
      <c r="AB28" s="210"/>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41"/>
      <c r="BF28" s="41"/>
      <c r="BG28" s="41"/>
      <c r="BH28" s="41"/>
      <c r="BI28" s="41"/>
      <c r="BJ28" s="41"/>
      <c r="BK28" s="41"/>
      <c r="BL28" s="41"/>
      <c r="BM28" s="41"/>
      <c r="BN28" s="41"/>
      <c r="BO28" s="41"/>
      <c r="BP28" s="41"/>
    </row>
    <row r="29" spans="1:68">
      <c r="A29" s="210" t="s">
        <v>6002</v>
      </c>
      <c r="B29" s="210"/>
      <c r="C29" s="210"/>
      <c r="D29" s="210"/>
      <c r="E29" s="210"/>
      <c r="F29" s="210" t="s">
        <v>6428</v>
      </c>
      <c r="G29" s="210"/>
      <c r="H29" s="210"/>
      <c r="I29" s="210"/>
      <c r="J29" s="210"/>
      <c r="K29" s="210"/>
      <c r="L29" s="210"/>
      <c r="M29" s="210"/>
      <c r="N29" s="210"/>
      <c r="O29" s="210"/>
      <c r="P29" s="210"/>
      <c r="Q29" s="210" t="s">
        <v>6302</v>
      </c>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41"/>
      <c r="BF29" s="41"/>
      <c r="BG29" s="41"/>
      <c r="BH29" s="41"/>
      <c r="BI29" s="41"/>
      <c r="BJ29" s="41"/>
      <c r="BK29" s="41"/>
      <c r="BL29" s="41"/>
      <c r="BM29" s="41"/>
      <c r="BN29" s="41"/>
      <c r="BO29" s="41"/>
      <c r="BP29" s="41"/>
    </row>
    <row r="30" spans="1:68">
      <c r="A30" s="210"/>
      <c r="B30" s="210"/>
      <c r="C30" s="210"/>
      <c r="D30" s="210"/>
      <c r="E30" s="210"/>
      <c r="F30" s="210"/>
      <c r="G30" s="210"/>
      <c r="H30" s="210"/>
      <c r="I30" s="210"/>
      <c r="J30" s="210"/>
      <c r="K30" s="210"/>
      <c r="L30" s="210"/>
      <c r="M30" s="210"/>
      <c r="N30" s="210"/>
      <c r="O30" s="210"/>
      <c r="P30" s="210" t="s">
        <v>6429</v>
      </c>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41"/>
      <c r="BF30" s="41"/>
      <c r="BG30" s="41"/>
      <c r="BH30" s="41"/>
      <c r="BI30" s="41"/>
      <c r="BJ30" s="41"/>
      <c r="BK30" s="41"/>
      <c r="BL30" s="41"/>
      <c r="BM30" s="41"/>
      <c r="BN30" s="41"/>
      <c r="BO30" s="41"/>
      <c r="BP30" s="41"/>
    </row>
    <row r="31" spans="1:68">
      <c r="A31" s="210" t="s">
        <v>6002</v>
      </c>
      <c r="B31" s="210"/>
      <c r="C31" s="210"/>
      <c r="D31" s="210"/>
      <c r="E31" s="210"/>
      <c r="F31" s="210" t="s">
        <v>6013</v>
      </c>
      <c r="G31" s="210"/>
      <c r="H31" s="210"/>
      <c r="I31" s="210"/>
      <c r="J31" s="210"/>
      <c r="K31" s="210"/>
      <c r="L31" s="210"/>
      <c r="M31" s="210"/>
      <c r="N31" s="210"/>
      <c r="O31" s="210"/>
      <c r="P31" s="210"/>
      <c r="Q31" s="210" t="s">
        <v>6017</v>
      </c>
      <c r="R31" s="210"/>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41"/>
      <c r="BF31" s="41"/>
      <c r="BG31" s="41"/>
      <c r="BH31" s="41"/>
      <c r="BI31" s="41"/>
      <c r="BJ31" s="41"/>
      <c r="BK31" s="41"/>
      <c r="BL31" s="41"/>
      <c r="BM31" s="41"/>
      <c r="BN31" s="41"/>
      <c r="BO31" s="41"/>
      <c r="BP31" s="41"/>
    </row>
    <row r="32" spans="1:68">
      <c r="A32" s="210"/>
      <c r="B32" s="210"/>
      <c r="C32" s="210"/>
      <c r="D32" s="210"/>
      <c r="E32" s="210"/>
      <c r="F32" s="210"/>
      <c r="G32" s="210"/>
      <c r="H32" s="210"/>
      <c r="I32" s="210"/>
      <c r="J32" s="210"/>
      <c r="K32" s="210"/>
      <c r="L32" s="210"/>
      <c r="M32" s="210"/>
      <c r="N32" s="210"/>
      <c r="O32" s="210"/>
      <c r="P32" s="210" t="s">
        <v>6430</v>
      </c>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41"/>
      <c r="BF32" s="41"/>
      <c r="BG32" s="41"/>
      <c r="BH32" s="41"/>
      <c r="BI32" s="41"/>
      <c r="BJ32" s="41"/>
      <c r="BK32" s="41"/>
      <c r="BL32" s="41"/>
      <c r="BM32" s="41"/>
      <c r="BN32" s="41"/>
      <c r="BO32" s="41"/>
      <c r="BP32" s="41"/>
    </row>
    <row r="33" spans="1:68">
      <c r="A33" s="210" t="s">
        <v>6002</v>
      </c>
      <c r="B33" s="210"/>
      <c r="C33" s="210"/>
      <c r="D33" s="210"/>
      <c r="E33" s="210"/>
      <c r="F33" s="210" t="s">
        <v>5989</v>
      </c>
      <c r="G33" s="210"/>
      <c r="H33" s="210"/>
      <c r="I33" s="210"/>
      <c r="J33" s="210"/>
      <c r="K33" s="210"/>
      <c r="L33" s="210"/>
      <c r="M33" s="210"/>
      <c r="N33" s="210"/>
      <c r="O33" s="210"/>
      <c r="P33" s="210"/>
      <c r="Q33" s="210" t="s">
        <v>5994</v>
      </c>
      <c r="R33" s="210"/>
      <c r="S33" s="210"/>
      <c r="T33" s="210"/>
      <c r="U33" s="210"/>
      <c r="V33" s="210"/>
      <c r="W33" s="210"/>
      <c r="X33" s="210"/>
      <c r="Y33" s="210"/>
      <c r="Z33" s="210"/>
      <c r="AA33" s="210"/>
      <c r="AB33" s="210"/>
      <c r="AC33" s="210"/>
      <c r="AD33" s="210"/>
      <c r="AE33" s="210"/>
      <c r="AF33" s="210"/>
      <c r="AG33" s="210"/>
      <c r="AH33" s="210"/>
      <c r="AI33" s="210"/>
      <c r="AJ33" s="210"/>
      <c r="AK33" s="210"/>
      <c r="AL33" s="210"/>
      <c r="AM33" s="210"/>
      <c r="AN33" s="210"/>
      <c r="AO33" s="210"/>
      <c r="AP33" s="210"/>
      <c r="AQ33" s="210"/>
      <c r="AR33" s="210"/>
      <c r="AS33" s="210"/>
      <c r="AT33" s="210"/>
      <c r="AU33" s="210"/>
      <c r="AV33" s="210"/>
      <c r="AW33" s="210"/>
      <c r="AX33" s="210"/>
      <c r="AY33" s="210"/>
      <c r="AZ33" s="210"/>
      <c r="BA33" s="210"/>
      <c r="BB33" s="210"/>
      <c r="BC33" s="210"/>
      <c r="BD33" s="210"/>
      <c r="BE33" s="41"/>
      <c r="BF33" s="41"/>
      <c r="BG33" s="41"/>
      <c r="BH33" s="41"/>
      <c r="BI33" s="41"/>
      <c r="BJ33" s="41"/>
      <c r="BK33" s="41"/>
      <c r="BL33" s="41"/>
      <c r="BM33" s="41"/>
      <c r="BN33" s="41"/>
      <c r="BO33" s="41"/>
      <c r="BP33" s="41"/>
    </row>
    <row r="34" spans="1:68">
      <c r="A34" s="210"/>
      <c r="B34" s="210"/>
      <c r="C34" s="210"/>
      <c r="D34" s="210"/>
      <c r="E34" s="210"/>
      <c r="F34" s="210"/>
      <c r="G34" s="210"/>
      <c r="H34" s="210"/>
      <c r="I34" s="210"/>
      <c r="J34" s="210"/>
      <c r="K34" s="210"/>
      <c r="L34" s="210"/>
      <c r="M34" s="210"/>
      <c r="N34" s="210"/>
      <c r="O34" s="210"/>
      <c r="P34" s="210" t="s">
        <v>6431</v>
      </c>
      <c r="Q34" s="210"/>
      <c r="R34" s="210"/>
      <c r="S34" s="210"/>
      <c r="T34" s="210"/>
      <c r="U34" s="210"/>
      <c r="V34" s="210"/>
      <c r="W34" s="210"/>
      <c r="X34" s="210"/>
      <c r="Y34" s="210"/>
      <c r="Z34" s="210"/>
      <c r="AA34" s="210"/>
      <c r="AB34" s="210"/>
      <c r="AC34" s="210"/>
      <c r="AD34" s="210"/>
      <c r="AE34" s="210"/>
      <c r="AF34" s="210"/>
      <c r="AG34" s="210"/>
      <c r="AH34" s="210"/>
      <c r="AI34" s="210"/>
      <c r="AJ34" s="210"/>
      <c r="AK34" s="210"/>
      <c r="AL34" s="210"/>
      <c r="AM34" s="210"/>
      <c r="AN34" s="210"/>
      <c r="AO34" s="210"/>
      <c r="AP34" s="210"/>
      <c r="AQ34" s="210"/>
      <c r="AR34" s="210"/>
      <c r="AS34" s="210"/>
      <c r="AT34" s="210"/>
      <c r="AU34" s="210"/>
      <c r="AV34" s="210"/>
      <c r="AW34" s="210"/>
      <c r="AX34" s="210"/>
      <c r="AY34" s="210"/>
      <c r="AZ34" s="210"/>
      <c r="BA34" s="210"/>
      <c r="BB34" s="210"/>
      <c r="BC34" s="210"/>
      <c r="BD34" s="210"/>
      <c r="BE34" s="41"/>
      <c r="BF34" s="41"/>
      <c r="BG34" s="41"/>
      <c r="BH34" s="41"/>
      <c r="BI34" s="41"/>
      <c r="BJ34" s="41"/>
      <c r="BK34" s="41"/>
      <c r="BL34" s="41"/>
      <c r="BM34" s="41"/>
      <c r="BN34" s="41"/>
      <c r="BO34" s="41"/>
      <c r="BP34" s="41"/>
    </row>
    <row r="35" spans="1:68">
      <c r="A35" s="210" t="s">
        <v>6002</v>
      </c>
      <c r="B35" s="210"/>
      <c r="C35" s="210"/>
      <c r="D35" s="210"/>
      <c r="E35" s="210"/>
      <c r="F35" s="210" t="s">
        <v>6108</v>
      </c>
      <c r="G35" s="210"/>
      <c r="H35" s="210"/>
      <c r="I35" s="210"/>
      <c r="J35" s="210"/>
      <c r="K35" s="210"/>
      <c r="L35" s="210"/>
      <c r="M35" s="210"/>
      <c r="N35" s="210"/>
      <c r="O35" s="210"/>
      <c r="P35" s="210"/>
      <c r="Q35" s="210" t="s">
        <v>6112</v>
      </c>
      <c r="R35" s="210"/>
      <c r="S35" s="210"/>
      <c r="T35" s="210"/>
      <c r="U35" s="210"/>
      <c r="V35" s="210"/>
      <c r="W35" s="210"/>
      <c r="X35" s="210"/>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41"/>
      <c r="BF35" s="41"/>
      <c r="BG35" s="41"/>
      <c r="BH35" s="41"/>
      <c r="BI35" s="41"/>
      <c r="BJ35" s="41"/>
      <c r="BK35" s="41"/>
      <c r="BL35" s="41"/>
      <c r="BM35" s="41"/>
      <c r="BN35" s="41"/>
      <c r="BO35" s="41"/>
      <c r="BP35" s="41"/>
    </row>
    <row r="36" spans="1:68">
      <c r="A36" s="210"/>
      <c r="B36" s="210"/>
      <c r="C36" s="210"/>
      <c r="D36" s="210"/>
      <c r="E36" s="210"/>
      <c r="F36" s="210"/>
      <c r="G36" s="210"/>
      <c r="H36" s="210"/>
      <c r="I36" s="210"/>
      <c r="J36" s="210"/>
      <c r="K36" s="210"/>
      <c r="L36" s="210"/>
      <c r="M36" s="210"/>
      <c r="N36" s="210"/>
      <c r="O36" s="210"/>
      <c r="P36" s="210" t="s">
        <v>6432</v>
      </c>
      <c r="Q36" s="210"/>
      <c r="R36" s="210"/>
      <c r="S36" s="210"/>
      <c r="T36" s="210"/>
      <c r="U36" s="210"/>
      <c r="V36" s="210"/>
      <c r="W36" s="210"/>
      <c r="X36" s="210"/>
      <c r="Y36" s="210"/>
      <c r="Z36" s="210"/>
      <c r="AA36" s="210"/>
      <c r="AB36" s="210"/>
      <c r="AC36" s="210"/>
      <c r="AD36" s="210"/>
      <c r="AE36" s="210"/>
      <c r="AF36" s="210"/>
      <c r="AG36" s="210"/>
      <c r="AH36" s="210"/>
      <c r="AI36" s="210"/>
      <c r="AJ36" s="210"/>
      <c r="AK36" s="210"/>
      <c r="AL36" s="210"/>
      <c r="AM36" s="210"/>
      <c r="AN36" s="210"/>
      <c r="AO36" s="210"/>
      <c r="AP36" s="210"/>
      <c r="AQ36" s="210"/>
      <c r="AR36" s="210"/>
      <c r="AS36" s="210"/>
      <c r="AT36" s="210"/>
      <c r="AU36" s="210"/>
      <c r="AV36" s="210"/>
      <c r="AW36" s="210"/>
      <c r="AX36" s="210"/>
      <c r="AY36" s="210"/>
      <c r="AZ36" s="210"/>
      <c r="BA36" s="210"/>
      <c r="BB36" s="210"/>
      <c r="BC36" s="210"/>
      <c r="BD36" s="210"/>
      <c r="BE36" s="41"/>
      <c r="BF36" s="41"/>
      <c r="BG36" s="41"/>
      <c r="BH36" s="41"/>
      <c r="BI36" s="41"/>
      <c r="BJ36" s="41"/>
      <c r="BK36" s="41"/>
      <c r="BL36" s="41"/>
      <c r="BM36" s="41"/>
      <c r="BN36" s="41"/>
      <c r="BO36" s="41"/>
      <c r="BP36" s="41"/>
    </row>
    <row r="37" spans="1:68">
      <c r="A37" s="210" t="s">
        <v>6002</v>
      </c>
      <c r="B37" s="210"/>
      <c r="C37" s="210"/>
      <c r="D37" s="210"/>
      <c r="E37" s="210"/>
      <c r="F37" s="210" t="s">
        <v>6002</v>
      </c>
      <c r="G37" s="210"/>
      <c r="H37" s="210"/>
      <c r="I37" s="210"/>
      <c r="J37" s="210"/>
      <c r="K37" s="210"/>
      <c r="L37" s="210"/>
      <c r="M37" s="210"/>
      <c r="N37" s="210"/>
      <c r="O37" s="210"/>
      <c r="P37" s="210"/>
      <c r="Q37" s="210" t="s">
        <v>6214</v>
      </c>
      <c r="R37" s="210"/>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41"/>
      <c r="BF37" s="41"/>
      <c r="BG37" s="41"/>
      <c r="BH37" s="41"/>
      <c r="BI37" s="41"/>
      <c r="BJ37" s="41"/>
      <c r="BK37" s="41"/>
      <c r="BL37" s="41"/>
      <c r="BM37" s="41"/>
      <c r="BN37" s="41"/>
      <c r="BO37" s="41"/>
      <c r="BP37" s="41"/>
    </row>
    <row r="38" spans="1:68">
      <c r="A38" s="210"/>
      <c r="B38" s="210"/>
      <c r="C38" s="210"/>
      <c r="D38" s="210"/>
      <c r="E38" s="210"/>
      <c r="F38" s="210"/>
      <c r="G38" s="210"/>
      <c r="H38" s="210"/>
      <c r="I38" s="210"/>
      <c r="J38" s="210"/>
      <c r="K38" s="210"/>
      <c r="L38" s="210"/>
      <c r="M38" s="210"/>
      <c r="N38" s="210"/>
      <c r="O38" s="210"/>
      <c r="P38" s="210" t="s">
        <v>6002</v>
      </c>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41"/>
      <c r="BF38" s="41"/>
      <c r="BG38" s="41"/>
      <c r="BH38" s="41"/>
      <c r="BI38" s="41"/>
      <c r="BJ38" s="41"/>
      <c r="BK38" s="41"/>
      <c r="BL38" s="41"/>
      <c r="BM38" s="41"/>
      <c r="BN38" s="41"/>
      <c r="BO38" s="41"/>
      <c r="BP38" s="41"/>
    </row>
    <row r="39" spans="1:68">
      <c r="A39" s="210" t="s">
        <v>6002</v>
      </c>
      <c r="B39" s="210"/>
      <c r="C39" s="210"/>
      <c r="D39" s="210"/>
      <c r="E39" s="210"/>
      <c r="F39" s="210" t="s">
        <v>6042</v>
      </c>
      <c r="G39" s="210"/>
      <c r="H39" s="210"/>
      <c r="I39" s="210"/>
      <c r="J39" s="210"/>
      <c r="K39" s="210"/>
      <c r="L39" s="210"/>
      <c r="M39" s="210"/>
      <c r="N39" s="210"/>
      <c r="O39" s="210"/>
      <c r="P39" s="210"/>
      <c r="Q39" s="210" t="s">
        <v>6046</v>
      </c>
      <c r="R39" s="210"/>
      <c r="S39" s="210"/>
      <c r="T39" s="210"/>
      <c r="U39" s="210"/>
      <c r="V39" s="210"/>
      <c r="W39" s="210"/>
      <c r="X39" s="210"/>
      <c r="Y39" s="210"/>
      <c r="Z39" s="210"/>
      <c r="AA39" s="210"/>
      <c r="AB39" s="210"/>
      <c r="AC39" s="210"/>
      <c r="AD39" s="210"/>
      <c r="AE39" s="210"/>
      <c r="AF39" s="210"/>
      <c r="AG39" s="210"/>
      <c r="AH39" s="210"/>
      <c r="AI39" s="210"/>
      <c r="AJ39" s="210"/>
      <c r="AK39" s="210"/>
      <c r="AL39" s="210"/>
      <c r="AM39" s="210"/>
      <c r="AN39" s="210"/>
      <c r="AO39" s="210"/>
      <c r="AP39" s="210"/>
      <c r="AQ39" s="210"/>
      <c r="AR39" s="210"/>
      <c r="AS39" s="210"/>
      <c r="AT39" s="210"/>
      <c r="AU39" s="210"/>
      <c r="AV39" s="210"/>
      <c r="AW39" s="210"/>
      <c r="AX39" s="210"/>
      <c r="AY39" s="210"/>
      <c r="AZ39" s="210"/>
      <c r="BA39" s="210"/>
      <c r="BB39" s="210"/>
      <c r="BC39" s="210"/>
      <c r="BD39" s="210"/>
      <c r="BE39" s="41"/>
      <c r="BF39" s="41"/>
      <c r="BG39" s="41"/>
      <c r="BH39" s="41"/>
      <c r="BI39" s="41"/>
      <c r="BJ39" s="41"/>
      <c r="BK39" s="41"/>
      <c r="BL39" s="41"/>
      <c r="BM39" s="41"/>
      <c r="BN39" s="41"/>
      <c r="BO39" s="41"/>
      <c r="BP39" s="41"/>
    </row>
    <row r="40" spans="1:68">
      <c r="A40" s="210"/>
      <c r="B40" s="210"/>
      <c r="C40" s="210"/>
      <c r="D40" s="210"/>
      <c r="E40" s="210"/>
      <c r="F40" s="210"/>
      <c r="G40" s="210"/>
      <c r="H40" s="210"/>
      <c r="I40" s="210"/>
      <c r="J40" s="210"/>
      <c r="K40" s="210"/>
      <c r="L40" s="210"/>
      <c r="M40" s="210"/>
      <c r="N40" s="210"/>
      <c r="O40" s="210"/>
      <c r="P40" s="210" t="s">
        <v>6433</v>
      </c>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41"/>
      <c r="BF40" s="41"/>
      <c r="BG40" s="41"/>
      <c r="BH40" s="41"/>
      <c r="BI40" s="41"/>
      <c r="BJ40" s="41"/>
      <c r="BK40" s="41"/>
      <c r="BL40" s="41"/>
      <c r="BM40" s="41"/>
      <c r="BN40" s="41"/>
      <c r="BO40" s="41"/>
      <c r="BP40" s="41"/>
    </row>
    <row r="41" spans="1:68">
      <c r="A41" s="210" t="s">
        <v>6002</v>
      </c>
      <c r="B41" s="210"/>
      <c r="C41" s="210"/>
      <c r="D41" s="210"/>
      <c r="E41" s="210"/>
      <c r="F41" s="210" t="s">
        <v>6101</v>
      </c>
      <c r="G41" s="210"/>
      <c r="H41" s="210"/>
      <c r="I41" s="210"/>
      <c r="J41" s="210"/>
      <c r="K41" s="210"/>
      <c r="L41" s="210"/>
      <c r="M41" s="210"/>
      <c r="N41" s="210"/>
      <c r="O41" s="210"/>
      <c r="P41" s="210"/>
      <c r="Q41" s="210" t="s">
        <v>6105</v>
      </c>
      <c r="R41" s="210"/>
      <c r="S41" s="210"/>
      <c r="T41" s="210"/>
      <c r="U41" s="210"/>
      <c r="V41" s="210"/>
      <c r="W41" s="210"/>
      <c r="X41" s="210"/>
      <c r="Y41" s="210"/>
      <c r="Z41" s="210"/>
      <c r="AA41" s="210"/>
      <c r="AB41" s="210"/>
      <c r="AC41" s="210"/>
      <c r="AD41" s="210"/>
      <c r="AE41" s="210"/>
      <c r="AF41" s="210"/>
      <c r="AG41" s="210"/>
      <c r="AH41" s="210"/>
      <c r="AI41" s="210"/>
      <c r="AJ41" s="210"/>
      <c r="AK41" s="210"/>
      <c r="AL41" s="210"/>
      <c r="AM41" s="210"/>
      <c r="AN41" s="210"/>
      <c r="AO41" s="210"/>
      <c r="AP41" s="210"/>
      <c r="AQ41" s="210"/>
      <c r="AR41" s="210"/>
      <c r="AS41" s="210"/>
      <c r="AT41" s="210"/>
      <c r="AU41" s="210"/>
      <c r="AV41" s="210"/>
      <c r="AW41" s="210"/>
      <c r="AX41" s="210"/>
      <c r="AY41" s="210"/>
      <c r="AZ41" s="210"/>
      <c r="BA41" s="210"/>
      <c r="BB41" s="210"/>
      <c r="BC41" s="210"/>
      <c r="BD41" s="210"/>
      <c r="BE41" s="41"/>
      <c r="BF41" s="41"/>
      <c r="BG41" s="41"/>
      <c r="BH41" s="41"/>
      <c r="BI41" s="41"/>
      <c r="BJ41" s="41"/>
      <c r="BK41" s="41"/>
      <c r="BL41" s="41"/>
      <c r="BM41" s="41"/>
      <c r="BN41" s="41"/>
      <c r="BO41" s="41"/>
      <c r="BP41" s="41"/>
    </row>
    <row r="42" spans="1:68">
      <c r="A42" s="210"/>
      <c r="B42" s="210"/>
      <c r="C42" s="210"/>
      <c r="D42" s="210"/>
      <c r="E42" s="210"/>
      <c r="F42" s="210"/>
      <c r="G42" s="210"/>
      <c r="H42" s="210"/>
      <c r="I42" s="210"/>
      <c r="J42" s="210"/>
      <c r="K42" s="210"/>
      <c r="L42" s="210"/>
      <c r="M42" s="210"/>
      <c r="N42" s="210"/>
      <c r="O42" s="210"/>
      <c r="P42" s="210" t="s">
        <v>6434</v>
      </c>
      <c r="Q42" s="210"/>
      <c r="R42" s="210"/>
      <c r="S42" s="210"/>
      <c r="T42" s="210"/>
      <c r="U42" s="210"/>
      <c r="V42" s="210"/>
      <c r="W42" s="210"/>
      <c r="X42" s="210"/>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41"/>
      <c r="BF42" s="41"/>
      <c r="BG42" s="41"/>
      <c r="BH42" s="41"/>
      <c r="BI42" s="41"/>
      <c r="BJ42" s="41"/>
      <c r="BK42" s="41"/>
      <c r="BL42" s="41"/>
      <c r="BM42" s="41"/>
      <c r="BN42" s="41"/>
      <c r="BO42" s="41"/>
      <c r="BP42" s="41"/>
    </row>
    <row r="43" spans="1:68">
      <c r="A43" s="210" t="s">
        <v>6002</v>
      </c>
      <c r="B43" s="210"/>
      <c r="C43" s="210"/>
      <c r="D43" s="210"/>
      <c r="E43" s="210"/>
      <c r="F43" s="210" t="s">
        <v>6019</v>
      </c>
      <c r="G43" s="210"/>
      <c r="H43" s="210"/>
      <c r="I43" s="210"/>
      <c r="J43" s="210"/>
      <c r="K43" s="210"/>
      <c r="L43" s="210"/>
      <c r="M43" s="210"/>
      <c r="N43" s="210"/>
      <c r="O43" s="210"/>
      <c r="P43" s="210"/>
      <c r="Q43" s="210" t="s">
        <v>6023</v>
      </c>
      <c r="R43" s="210"/>
      <c r="S43" s="210"/>
      <c r="T43" s="210"/>
      <c r="U43" s="210"/>
      <c r="V43" s="210"/>
      <c r="W43" s="210"/>
      <c r="X43" s="210"/>
      <c r="Y43" s="210"/>
      <c r="Z43" s="210"/>
      <c r="AA43" s="210"/>
      <c r="AB43" s="210"/>
      <c r="AC43" s="210"/>
      <c r="AD43" s="210"/>
      <c r="AE43" s="210"/>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210"/>
      <c r="BB43" s="210"/>
      <c r="BC43" s="210"/>
      <c r="BD43" s="210"/>
      <c r="BE43" s="41"/>
      <c r="BF43" s="41"/>
      <c r="BG43" s="41"/>
      <c r="BH43" s="41"/>
      <c r="BI43" s="41"/>
      <c r="BJ43" s="41"/>
      <c r="BK43" s="41"/>
      <c r="BL43" s="41"/>
      <c r="BM43" s="41"/>
      <c r="BN43" s="41"/>
      <c r="BO43" s="41"/>
      <c r="BP43" s="41"/>
    </row>
    <row r="44" spans="1:68">
      <c r="A44" s="210"/>
      <c r="B44" s="210"/>
      <c r="C44" s="210"/>
      <c r="D44" s="210"/>
      <c r="E44" s="210"/>
      <c r="F44" s="210"/>
      <c r="G44" s="210"/>
      <c r="H44" s="210"/>
      <c r="I44" s="210"/>
      <c r="J44" s="210"/>
      <c r="K44" s="210"/>
      <c r="L44" s="210"/>
      <c r="M44" s="210"/>
      <c r="N44" s="210"/>
      <c r="O44" s="210"/>
      <c r="P44" s="210" t="s">
        <v>6435</v>
      </c>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41"/>
      <c r="BF44" s="41"/>
      <c r="BG44" s="41"/>
      <c r="BH44" s="41"/>
      <c r="BI44" s="41"/>
      <c r="BJ44" s="41"/>
      <c r="BK44" s="41"/>
      <c r="BL44" s="41"/>
      <c r="BM44" s="41"/>
      <c r="BN44" s="41"/>
      <c r="BO44" s="41"/>
      <c r="BP44" s="41"/>
    </row>
    <row r="45" spans="1:68">
      <c r="A45" s="210" t="s">
        <v>6002</v>
      </c>
      <c r="B45" s="210"/>
      <c r="C45" s="210"/>
      <c r="D45" s="210"/>
      <c r="E45" s="210"/>
      <c r="F45" s="210" t="s">
        <v>5996</v>
      </c>
      <c r="G45" s="210"/>
      <c r="H45" s="210"/>
      <c r="I45" s="210"/>
      <c r="J45" s="210"/>
      <c r="K45" s="210"/>
      <c r="L45" s="210"/>
      <c r="M45" s="210"/>
      <c r="N45" s="210"/>
      <c r="O45" s="210"/>
      <c r="P45" s="210"/>
      <c r="Q45" s="210" t="s">
        <v>6000</v>
      </c>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41"/>
      <c r="BF45" s="41"/>
      <c r="BG45" s="41"/>
      <c r="BH45" s="41"/>
      <c r="BI45" s="41"/>
      <c r="BJ45" s="41"/>
      <c r="BK45" s="41"/>
      <c r="BL45" s="41"/>
      <c r="BM45" s="41"/>
      <c r="BN45" s="41"/>
      <c r="BO45" s="41"/>
      <c r="BP45" s="41"/>
    </row>
    <row r="46" spans="1:68">
      <c r="A46" s="210"/>
      <c r="B46" s="210"/>
      <c r="C46" s="210"/>
      <c r="D46" s="210"/>
      <c r="E46" s="210"/>
      <c r="F46" s="210"/>
      <c r="G46" s="210"/>
      <c r="H46" s="210"/>
      <c r="I46" s="210"/>
      <c r="J46" s="210"/>
      <c r="K46" s="210"/>
      <c r="L46" s="210"/>
      <c r="M46" s="210"/>
      <c r="N46" s="210"/>
      <c r="O46" s="210"/>
      <c r="P46" s="210" t="s">
        <v>6436</v>
      </c>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41"/>
      <c r="BF46" s="41"/>
      <c r="BG46" s="41"/>
      <c r="BH46" s="41"/>
      <c r="BI46" s="41"/>
      <c r="BJ46" s="41"/>
      <c r="BK46" s="41"/>
      <c r="BL46" s="41"/>
      <c r="BM46" s="41"/>
      <c r="BN46" s="41"/>
      <c r="BO46" s="41"/>
      <c r="BP46" s="41"/>
    </row>
    <row r="47" spans="1:68">
      <c r="A47" s="210" t="s">
        <v>6002</v>
      </c>
      <c r="B47" s="210"/>
      <c r="C47" s="210"/>
      <c r="D47" s="210"/>
      <c r="E47" s="210"/>
      <c r="F47" s="210" t="s">
        <v>6437</v>
      </c>
      <c r="G47" s="210"/>
      <c r="H47" s="210"/>
      <c r="I47" s="210"/>
      <c r="J47" s="210"/>
      <c r="K47" s="210"/>
      <c r="L47" s="210"/>
      <c r="M47" s="210"/>
      <c r="N47" s="210"/>
      <c r="O47" s="210"/>
      <c r="P47" s="210"/>
      <c r="Q47" s="210" t="s">
        <v>6075</v>
      </c>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41"/>
      <c r="BF47" s="41"/>
      <c r="BG47" s="41"/>
      <c r="BH47" s="41"/>
      <c r="BI47" s="41"/>
      <c r="BJ47" s="41"/>
      <c r="BK47" s="41"/>
      <c r="BL47" s="41"/>
      <c r="BM47" s="41"/>
      <c r="BN47" s="41"/>
      <c r="BO47" s="41"/>
      <c r="BP47" s="41"/>
    </row>
    <row r="48" spans="1:68">
      <c r="A48" s="210"/>
      <c r="B48" s="210"/>
      <c r="C48" s="210"/>
      <c r="D48" s="210"/>
      <c r="E48" s="210"/>
      <c r="F48" s="210"/>
      <c r="G48" s="210"/>
      <c r="H48" s="210"/>
      <c r="I48" s="210"/>
      <c r="J48" s="210"/>
      <c r="K48" s="210"/>
      <c r="L48" s="210"/>
      <c r="M48" s="210"/>
      <c r="N48" s="210"/>
      <c r="O48" s="210"/>
      <c r="P48" s="210" t="s">
        <v>6438</v>
      </c>
      <c r="Q48" s="210"/>
      <c r="R48" s="210"/>
      <c r="S48" s="210"/>
      <c r="T48" s="210"/>
      <c r="U48" s="210"/>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41"/>
      <c r="BF48" s="41"/>
      <c r="BG48" s="41"/>
      <c r="BH48" s="41"/>
      <c r="BI48" s="41"/>
      <c r="BJ48" s="41"/>
      <c r="BK48" s="41"/>
      <c r="BL48" s="41"/>
      <c r="BM48" s="41"/>
      <c r="BN48" s="41"/>
      <c r="BO48" s="41"/>
      <c r="BP48" s="41"/>
    </row>
    <row r="49" spans="1:68">
      <c r="A49" s="210" t="s">
        <v>6002</v>
      </c>
      <c r="B49" s="210"/>
      <c r="C49" s="210"/>
      <c r="D49" s="210"/>
      <c r="E49" s="210"/>
      <c r="F49" s="210" t="s">
        <v>6007</v>
      </c>
      <c r="G49" s="210"/>
      <c r="H49" s="210"/>
      <c r="I49" s="210"/>
      <c r="J49" s="210"/>
      <c r="K49" s="210"/>
      <c r="L49" s="210"/>
      <c r="M49" s="210"/>
      <c r="N49" s="210"/>
      <c r="O49" s="210"/>
      <c r="P49" s="210"/>
      <c r="Q49" s="210" t="s">
        <v>6011</v>
      </c>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41"/>
      <c r="BF49" s="41"/>
      <c r="BG49" s="41"/>
      <c r="BH49" s="41"/>
      <c r="BI49" s="41"/>
      <c r="BJ49" s="41"/>
      <c r="BK49" s="41"/>
      <c r="BL49" s="41"/>
      <c r="BM49" s="41"/>
      <c r="BN49" s="41"/>
      <c r="BO49" s="41"/>
      <c r="BP49" s="41"/>
    </row>
    <row r="50" spans="1:68">
      <c r="A50" s="210"/>
      <c r="B50" s="210"/>
      <c r="C50" s="210"/>
      <c r="D50" s="210"/>
      <c r="E50" s="210"/>
      <c r="F50" s="210"/>
      <c r="G50" s="210"/>
      <c r="H50" s="210"/>
      <c r="I50" s="210"/>
      <c r="J50" s="210"/>
      <c r="K50" s="210"/>
      <c r="L50" s="210"/>
      <c r="M50" s="210"/>
      <c r="N50" s="210"/>
      <c r="O50" s="210"/>
      <c r="P50" s="210" t="s">
        <v>6439</v>
      </c>
      <c r="Q50" s="210"/>
      <c r="R50" s="210"/>
      <c r="S50" s="210"/>
      <c r="T50" s="210"/>
      <c r="U50" s="210"/>
      <c r="V50" s="210"/>
      <c r="W50" s="210"/>
      <c r="X50" s="210"/>
      <c r="Y50" s="210"/>
      <c r="Z50" s="210"/>
      <c r="AA50" s="210"/>
      <c r="AB50" s="210"/>
      <c r="AC50" s="210"/>
      <c r="AD50" s="210"/>
      <c r="AE50" s="210"/>
      <c r="AF50" s="210"/>
      <c r="AG50" s="210"/>
      <c r="AH50" s="210"/>
      <c r="AI50" s="210"/>
      <c r="AJ50" s="210"/>
      <c r="AK50" s="210"/>
      <c r="AL50" s="210"/>
      <c r="AM50" s="210"/>
      <c r="AN50" s="210"/>
      <c r="AO50" s="210"/>
      <c r="AP50" s="210"/>
      <c r="AQ50" s="210"/>
      <c r="AR50" s="210"/>
      <c r="AS50" s="210"/>
      <c r="AT50" s="210"/>
      <c r="AU50" s="210"/>
      <c r="AV50" s="210"/>
      <c r="AW50" s="210"/>
      <c r="AX50" s="210"/>
      <c r="AY50" s="210"/>
      <c r="AZ50" s="210"/>
      <c r="BA50" s="210"/>
      <c r="BB50" s="210"/>
      <c r="BC50" s="210"/>
      <c r="BD50" s="210"/>
      <c r="BE50" s="41"/>
      <c r="BF50" s="41"/>
      <c r="BG50" s="41"/>
      <c r="BH50" s="41"/>
      <c r="BI50" s="41"/>
      <c r="BJ50" s="41"/>
      <c r="BK50" s="41"/>
      <c r="BL50" s="41"/>
      <c r="BM50" s="41"/>
      <c r="BN50" s="41"/>
      <c r="BO50" s="41"/>
      <c r="BP50" s="41"/>
    </row>
    <row r="51" spans="1:68">
      <c r="A51" s="210" t="s">
        <v>6002</v>
      </c>
      <c r="B51" s="210"/>
      <c r="C51" s="210"/>
      <c r="D51" s="210"/>
      <c r="E51" s="210"/>
      <c r="F51" s="210" t="s">
        <v>6002</v>
      </c>
      <c r="G51" s="210"/>
      <c r="H51" s="210"/>
      <c r="I51" s="210"/>
      <c r="J51" s="210"/>
      <c r="K51" s="210"/>
      <c r="L51" s="210"/>
      <c r="M51" s="210"/>
      <c r="N51" s="210"/>
      <c r="O51" s="210"/>
      <c r="P51" s="210"/>
      <c r="Q51" s="210" t="s">
        <v>6256</v>
      </c>
      <c r="R51" s="210"/>
      <c r="S51" s="210"/>
      <c r="T51" s="210"/>
      <c r="U51" s="210"/>
      <c r="V51" s="210"/>
      <c r="W51" s="210"/>
      <c r="X51" s="210"/>
      <c r="Y51" s="210"/>
      <c r="Z51" s="210"/>
      <c r="AA51" s="210"/>
      <c r="AB51" s="210"/>
      <c r="AC51" s="210"/>
      <c r="AD51" s="210"/>
      <c r="AE51" s="210"/>
      <c r="AF51" s="210"/>
      <c r="AG51" s="210"/>
      <c r="AH51" s="210"/>
      <c r="AI51" s="210"/>
      <c r="AJ51" s="210"/>
      <c r="AK51" s="210"/>
      <c r="AL51" s="210"/>
      <c r="AM51" s="210"/>
      <c r="AN51" s="210"/>
      <c r="AO51" s="210"/>
      <c r="AP51" s="210"/>
      <c r="AQ51" s="210"/>
      <c r="AR51" s="210"/>
      <c r="AS51" s="210"/>
      <c r="AT51" s="210"/>
      <c r="AU51" s="210"/>
      <c r="AV51" s="210"/>
      <c r="AW51" s="210"/>
      <c r="AX51" s="210"/>
      <c r="AY51" s="210"/>
      <c r="AZ51" s="210"/>
      <c r="BA51" s="210"/>
      <c r="BB51" s="210"/>
      <c r="BC51" s="210"/>
      <c r="BD51" s="210"/>
      <c r="BE51" s="41"/>
      <c r="BF51" s="41"/>
      <c r="BG51" s="41"/>
      <c r="BH51" s="41"/>
      <c r="BI51" s="41"/>
      <c r="BJ51" s="41"/>
      <c r="BK51" s="41"/>
      <c r="BL51" s="41"/>
      <c r="BM51" s="41"/>
      <c r="BN51" s="41"/>
      <c r="BO51" s="41"/>
      <c r="BP51" s="41"/>
    </row>
    <row r="52" spans="1:68">
      <c r="A52" s="210"/>
      <c r="B52" s="210"/>
      <c r="C52" s="210"/>
      <c r="D52" s="210"/>
      <c r="E52" s="210"/>
      <c r="F52" s="210"/>
      <c r="G52" s="210"/>
      <c r="H52" s="210"/>
      <c r="I52" s="210"/>
      <c r="J52" s="210"/>
      <c r="K52" s="210"/>
      <c r="L52" s="210"/>
      <c r="M52" s="210"/>
      <c r="N52" s="210"/>
      <c r="O52" s="210"/>
      <c r="P52" s="210" t="s">
        <v>6002</v>
      </c>
      <c r="Q52" s="210"/>
      <c r="R52" s="210"/>
      <c r="S52" s="210"/>
      <c r="T52" s="210"/>
      <c r="U52" s="210"/>
      <c r="V52" s="210"/>
      <c r="W52" s="210"/>
      <c r="X52" s="210"/>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41"/>
      <c r="BF52" s="41"/>
      <c r="BG52" s="41"/>
      <c r="BH52" s="41"/>
      <c r="BI52" s="41"/>
      <c r="BJ52" s="41"/>
      <c r="BK52" s="41"/>
      <c r="BL52" s="41"/>
      <c r="BM52" s="41"/>
      <c r="BN52" s="41"/>
      <c r="BO52" s="41"/>
      <c r="BP52" s="41"/>
    </row>
    <row r="53" spans="1:68">
      <c r="A53" s="210" t="s">
        <v>6332</v>
      </c>
      <c r="B53" s="210"/>
      <c r="C53" s="210"/>
      <c r="D53" s="210"/>
      <c r="E53" s="210"/>
      <c r="F53" s="210" t="s">
        <v>6002</v>
      </c>
      <c r="G53" s="210"/>
      <c r="H53" s="210"/>
      <c r="I53" s="210"/>
      <c r="J53" s="210"/>
      <c r="K53" s="210"/>
      <c r="L53" s="210"/>
      <c r="M53" s="210"/>
      <c r="N53" s="210"/>
      <c r="O53" s="210"/>
      <c r="P53" s="210"/>
      <c r="Q53" s="210" t="s">
        <v>6337</v>
      </c>
      <c r="R53" s="210"/>
      <c r="S53" s="210"/>
      <c r="T53" s="210"/>
      <c r="U53" s="210"/>
      <c r="V53" s="210"/>
      <c r="W53" s="210"/>
      <c r="X53" s="210"/>
      <c r="Y53" s="210"/>
      <c r="Z53" s="210"/>
      <c r="AA53" s="210"/>
      <c r="AB53" s="210"/>
      <c r="AC53" s="210"/>
      <c r="AD53" s="210"/>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c r="BD53" s="210"/>
      <c r="BE53" s="41"/>
      <c r="BF53" s="41"/>
      <c r="BG53" s="41"/>
      <c r="BH53" s="41"/>
      <c r="BI53" s="41"/>
      <c r="BJ53" s="41"/>
      <c r="BK53" s="41"/>
      <c r="BL53" s="41"/>
      <c r="BM53" s="41"/>
      <c r="BN53" s="41"/>
      <c r="BO53" s="41"/>
      <c r="BP53" s="41"/>
    </row>
    <row r="54" spans="1:68">
      <c r="A54" s="210"/>
      <c r="B54" s="210"/>
      <c r="C54" s="210"/>
      <c r="D54" s="210"/>
      <c r="E54" s="210"/>
      <c r="F54" s="210"/>
      <c r="G54" s="210"/>
      <c r="H54" s="210"/>
      <c r="I54" s="210"/>
      <c r="J54" s="210"/>
      <c r="K54" s="210"/>
      <c r="L54" s="210"/>
      <c r="M54" s="210"/>
      <c r="N54" s="210"/>
      <c r="O54" s="210"/>
      <c r="P54" s="210" t="s">
        <v>6440</v>
      </c>
      <c r="Q54" s="210"/>
      <c r="R54" s="210"/>
      <c r="S54" s="210"/>
      <c r="T54" s="210"/>
      <c r="U54" s="210"/>
      <c r="V54" s="210"/>
      <c r="W54" s="210"/>
      <c r="X54" s="210"/>
      <c r="Y54" s="210"/>
      <c r="Z54" s="210"/>
      <c r="AA54" s="210"/>
      <c r="AB54" s="210"/>
      <c r="AC54" s="210"/>
      <c r="AD54" s="210"/>
      <c r="AE54" s="210"/>
      <c r="AF54" s="210"/>
      <c r="AG54" s="210"/>
      <c r="AH54" s="210"/>
      <c r="AI54" s="210"/>
      <c r="AJ54" s="210"/>
      <c r="AK54" s="210"/>
      <c r="AL54" s="210"/>
      <c r="AM54" s="210"/>
      <c r="AN54" s="210"/>
      <c r="AO54" s="210"/>
      <c r="AP54" s="210"/>
      <c r="AQ54" s="210"/>
      <c r="AR54" s="210"/>
      <c r="AS54" s="210"/>
      <c r="AT54" s="210"/>
      <c r="AU54" s="210"/>
      <c r="AV54" s="210"/>
      <c r="AW54" s="210"/>
      <c r="AX54" s="210"/>
      <c r="AY54" s="210"/>
      <c r="AZ54" s="210"/>
      <c r="BA54" s="210"/>
      <c r="BB54" s="210"/>
      <c r="BC54" s="210"/>
      <c r="BD54" s="210"/>
      <c r="BE54" s="41"/>
      <c r="BF54" s="41"/>
      <c r="BG54" s="41"/>
      <c r="BH54" s="41"/>
      <c r="BI54" s="41"/>
      <c r="BJ54" s="41"/>
      <c r="BK54" s="41"/>
      <c r="BL54" s="41"/>
      <c r="BM54" s="41"/>
      <c r="BN54" s="41"/>
      <c r="BO54" s="41"/>
      <c r="BP54" s="41"/>
    </row>
    <row r="55" spans="1:68">
      <c r="A55" s="210" t="s">
        <v>6332</v>
      </c>
      <c r="B55" s="210"/>
      <c r="C55" s="210"/>
      <c r="D55" s="210"/>
      <c r="E55" s="210"/>
      <c r="F55" s="210" t="s">
        <v>6441</v>
      </c>
      <c r="G55" s="210"/>
      <c r="H55" s="210"/>
      <c r="I55" s="210"/>
      <c r="J55" s="210"/>
      <c r="K55" s="210"/>
      <c r="L55" s="210"/>
      <c r="M55" s="210"/>
      <c r="N55" s="210"/>
      <c r="O55" s="210"/>
      <c r="P55" s="210"/>
      <c r="Q55" s="210" t="s">
        <v>4923</v>
      </c>
      <c r="R55" s="210"/>
      <c r="S55" s="210"/>
      <c r="T55" s="210"/>
      <c r="U55" s="210"/>
      <c r="V55" s="210"/>
      <c r="W55" s="210"/>
      <c r="X55" s="210"/>
      <c r="Y55" s="210"/>
      <c r="Z55" s="210"/>
      <c r="AA55" s="210"/>
      <c r="AB55" s="210"/>
      <c r="AC55" s="210"/>
      <c r="AD55" s="210"/>
      <c r="AE55" s="210"/>
      <c r="AF55" s="210"/>
      <c r="AG55" s="210"/>
      <c r="AH55" s="210"/>
      <c r="AI55" s="210"/>
      <c r="AJ55" s="210"/>
      <c r="AK55" s="210"/>
      <c r="AL55" s="210"/>
      <c r="AM55" s="210"/>
      <c r="AN55" s="210"/>
      <c r="AO55" s="210"/>
      <c r="AP55" s="210"/>
      <c r="AQ55" s="210"/>
      <c r="AR55" s="210"/>
      <c r="AS55" s="210"/>
      <c r="AT55" s="210"/>
      <c r="AU55" s="210"/>
      <c r="AV55" s="210"/>
      <c r="AW55" s="210"/>
      <c r="AX55" s="210"/>
      <c r="AY55" s="210"/>
      <c r="AZ55" s="210"/>
      <c r="BA55" s="210"/>
      <c r="BB55" s="210"/>
      <c r="BC55" s="210"/>
      <c r="BD55" s="210"/>
      <c r="BE55" s="41"/>
      <c r="BF55" s="41"/>
      <c r="BG55" s="41"/>
      <c r="BH55" s="41"/>
      <c r="BI55" s="41"/>
      <c r="BJ55" s="41"/>
      <c r="BK55" s="41"/>
      <c r="BL55" s="41"/>
      <c r="BM55" s="41"/>
      <c r="BN55" s="41"/>
      <c r="BO55" s="41"/>
      <c r="BP55" s="41"/>
    </row>
    <row r="56" spans="1:68">
      <c r="A56" s="210"/>
      <c r="B56" s="210"/>
      <c r="C56" s="210"/>
      <c r="D56" s="210"/>
      <c r="E56" s="210"/>
      <c r="F56" s="210"/>
      <c r="G56" s="210"/>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c r="AE56" s="210"/>
      <c r="AF56" s="210"/>
      <c r="AG56" s="210"/>
      <c r="AH56" s="210"/>
      <c r="AI56" s="210"/>
      <c r="AJ56" s="210"/>
      <c r="AK56" s="210"/>
      <c r="AL56" s="210"/>
      <c r="AM56" s="210"/>
      <c r="AN56" s="210"/>
      <c r="AO56" s="210"/>
      <c r="AP56" s="210"/>
      <c r="AQ56" s="210"/>
      <c r="AR56" s="210"/>
      <c r="AS56" s="210"/>
      <c r="AT56" s="210"/>
      <c r="AU56" s="210"/>
      <c r="AV56" s="210"/>
      <c r="AW56" s="210"/>
      <c r="AX56" s="210"/>
      <c r="AY56" s="210"/>
      <c r="AZ56" s="210"/>
      <c r="BA56" s="210"/>
      <c r="BB56" s="210"/>
      <c r="BC56" s="210"/>
      <c r="BD56" s="210"/>
      <c r="BE56" s="41"/>
      <c r="BF56" s="41"/>
      <c r="BG56" s="41"/>
      <c r="BH56" s="41"/>
      <c r="BI56" s="41"/>
      <c r="BJ56" s="41"/>
      <c r="BK56" s="41"/>
      <c r="BL56" s="41"/>
      <c r="BM56" s="41"/>
      <c r="BN56" s="41"/>
      <c r="BO56" s="41"/>
      <c r="BP56" s="41"/>
    </row>
    <row r="57" spans="1:68">
      <c r="A57" s="210"/>
      <c r="B57" s="210"/>
      <c r="C57" s="210"/>
      <c r="D57" s="210"/>
      <c r="E57" s="210"/>
      <c r="F57" s="210"/>
      <c r="G57" s="210"/>
      <c r="H57" s="210"/>
      <c r="I57" s="210"/>
      <c r="J57" s="210"/>
      <c r="K57" s="210"/>
      <c r="L57" s="210"/>
      <c r="M57" s="210"/>
      <c r="N57" s="210"/>
      <c r="O57" s="210"/>
      <c r="P57" s="210"/>
      <c r="Q57" s="210"/>
      <c r="R57" s="210"/>
      <c r="S57" s="210"/>
      <c r="T57" s="210" t="s">
        <v>6442</v>
      </c>
      <c r="U57" s="210"/>
      <c r="V57" s="210"/>
      <c r="W57" s="210"/>
      <c r="X57" s="210"/>
      <c r="Y57" s="210"/>
      <c r="Z57" s="210"/>
      <c r="AA57" s="210"/>
      <c r="AB57" s="210"/>
      <c r="AC57" s="210"/>
      <c r="AD57" s="210"/>
      <c r="AE57" s="210"/>
      <c r="AF57" s="210"/>
      <c r="AG57" s="210"/>
      <c r="AH57" s="210"/>
      <c r="AI57" s="210"/>
      <c r="AJ57" s="210"/>
      <c r="AK57" s="210"/>
      <c r="AL57" s="210"/>
      <c r="AM57" s="210"/>
      <c r="AN57" s="210"/>
      <c r="AO57" s="210"/>
      <c r="AP57" s="210"/>
      <c r="AQ57" s="210"/>
      <c r="AR57" s="210"/>
      <c r="AS57" s="210"/>
      <c r="AT57" s="210"/>
      <c r="AU57" s="210"/>
      <c r="AV57" s="210"/>
      <c r="AW57" s="210"/>
      <c r="AX57" s="210"/>
      <c r="AY57" s="210"/>
      <c r="AZ57" s="210"/>
      <c r="BA57" s="210"/>
      <c r="BB57" s="210"/>
      <c r="BC57" s="210"/>
      <c r="BD57" s="210"/>
      <c r="BE57" s="41"/>
      <c r="BF57" s="41"/>
      <c r="BG57" s="41"/>
      <c r="BH57" s="41"/>
      <c r="BI57" s="41"/>
      <c r="BJ57" s="41"/>
      <c r="BK57" s="41"/>
      <c r="BL57" s="41"/>
      <c r="BM57" s="41"/>
      <c r="BN57" s="41"/>
      <c r="BO57" s="41"/>
      <c r="BP57" s="41"/>
    </row>
    <row r="58" spans="1:68">
      <c r="A58" s="210"/>
      <c r="B58" s="210"/>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10"/>
      <c r="AA58" s="210"/>
      <c r="AB58" s="210"/>
      <c r="AC58" s="210"/>
      <c r="AD58" s="210"/>
      <c r="AE58" s="210"/>
      <c r="AF58" s="210"/>
      <c r="AG58" s="210"/>
      <c r="AH58" s="210"/>
      <c r="AI58" s="210"/>
      <c r="AJ58" s="210"/>
      <c r="AK58" s="210"/>
      <c r="AL58" s="210"/>
      <c r="AM58" s="210"/>
      <c r="AN58" s="210"/>
      <c r="AO58" s="210"/>
      <c r="AP58" s="210"/>
      <c r="AQ58" s="210"/>
      <c r="AR58" s="210"/>
      <c r="AS58" s="210"/>
      <c r="AT58" s="210"/>
      <c r="AU58" s="210"/>
      <c r="AV58" s="210"/>
      <c r="AW58" s="210"/>
      <c r="AX58" s="210"/>
      <c r="AY58" s="210"/>
      <c r="AZ58" s="210"/>
      <c r="BA58" s="210"/>
      <c r="BB58" s="210"/>
      <c r="BC58" s="210"/>
      <c r="BD58" s="210"/>
      <c r="BE58" s="41"/>
      <c r="BF58" s="41"/>
      <c r="BG58" s="41"/>
      <c r="BH58" s="41"/>
      <c r="BI58" s="41"/>
      <c r="BJ58" s="41"/>
      <c r="BK58" s="41"/>
      <c r="BL58" s="41"/>
      <c r="BM58" s="41"/>
      <c r="BN58" s="41"/>
      <c r="BO58" s="41"/>
      <c r="BP58" s="41"/>
    </row>
    <row r="59" spans="1:68">
      <c r="A59" s="210" t="s">
        <v>6443</v>
      </c>
      <c r="B59" s="210"/>
      <c r="C59" s="210" t="s">
        <v>6444</v>
      </c>
      <c r="D59" s="210"/>
      <c r="E59" s="210"/>
      <c r="F59" s="210" t="s">
        <v>6445</v>
      </c>
      <c r="G59" s="210"/>
      <c r="H59" s="210"/>
      <c r="I59" s="210"/>
      <c r="J59" s="210"/>
      <c r="K59" s="210"/>
      <c r="L59" s="210" t="s">
        <v>6446</v>
      </c>
      <c r="M59" s="210"/>
      <c r="N59" s="210"/>
      <c r="O59" s="210"/>
      <c r="P59" s="210"/>
      <c r="Q59" s="210"/>
      <c r="R59" s="210" t="s">
        <v>6327</v>
      </c>
      <c r="S59" s="210"/>
      <c r="T59" s="210"/>
      <c r="U59" s="210" t="s">
        <v>5986</v>
      </c>
      <c r="V59" s="210"/>
      <c r="W59" s="210"/>
      <c r="X59" s="210"/>
      <c r="Y59" s="210"/>
      <c r="Z59" s="210"/>
      <c r="AA59" s="210"/>
      <c r="AB59" s="210"/>
      <c r="AC59" s="210"/>
      <c r="AD59" s="210"/>
      <c r="AE59" s="210"/>
      <c r="AF59" s="210"/>
      <c r="AG59" s="210"/>
      <c r="AH59" s="210"/>
      <c r="AI59" s="210"/>
      <c r="AJ59" s="210"/>
      <c r="AK59" s="210"/>
      <c r="AL59" s="210"/>
      <c r="AM59" s="210"/>
      <c r="AN59" s="210"/>
      <c r="AO59" s="210"/>
      <c r="AP59" s="210"/>
      <c r="AQ59" s="210"/>
      <c r="AR59" s="210"/>
      <c r="AS59" s="210"/>
      <c r="AT59" s="210"/>
      <c r="AU59" s="210"/>
      <c r="AV59" s="210"/>
      <c r="AW59" s="210"/>
      <c r="AX59" s="210"/>
      <c r="AY59" s="210"/>
      <c r="AZ59" s="210"/>
      <c r="BA59" s="210"/>
      <c r="BB59" s="210"/>
      <c r="BC59" s="210"/>
      <c r="BD59" s="210"/>
      <c r="BE59" s="41"/>
      <c r="BF59" s="41"/>
      <c r="BG59" s="41"/>
      <c r="BH59" s="41"/>
      <c r="BI59" s="41"/>
      <c r="BJ59" s="41"/>
      <c r="BK59" s="41"/>
      <c r="BL59" s="41"/>
      <c r="BM59" s="41"/>
      <c r="BN59" s="41"/>
      <c r="BO59" s="41"/>
      <c r="BP59" s="41"/>
    </row>
    <row r="60" spans="1:68">
      <c r="A60" s="210" t="s">
        <v>6447</v>
      </c>
      <c r="B60" s="210"/>
      <c r="C60" s="210"/>
      <c r="D60" s="210" t="s">
        <v>6448</v>
      </c>
      <c r="E60" s="210"/>
      <c r="F60" s="210"/>
      <c r="G60" s="210"/>
      <c r="H60" s="210"/>
      <c r="I60" s="210" t="s">
        <v>6449</v>
      </c>
      <c r="J60" s="210"/>
      <c r="K60" s="210"/>
      <c r="L60" s="210"/>
      <c r="M60" s="210"/>
      <c r="N60" s="210"/>
      <c r="O60" s="210"/>
      <c r="P60" s="210"/>
      <c r="Q60" s="210" t="s">
        <v>6450</v>
      </c>
      <c r="R60" s="210"/>
      <c r="S60" s="210"/>
      <c r="T60" s="210"/>
      <c r="U60" s="210" t="s">
        <v>6302</v>
      </c>
      <c r="V60" s="210"/>
      <c r="W60" s="210"/>
      <c r="X60" s="210"/>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41"/>
      <c r="BF60" s="41"/>
      <c r="BG60" s="41"/>
      <c r="BH60" s="41"/>
      <c r="BI60" s="41"/>
      <c r="BJ60" s="41"/>
      <c r="BK60" s="41"/>
      <c r="BL60" s="41"/>
      <c r="BM60" s="41"/>
      <c r="BN60" s="41"/>
      <c r="BO60" s="41"/>
      <c r="BP60" s="41"/>
    </row>
    <row r="61" spans="1:68">
      <c r="A61" s="210"/>
      <c r="B61" s="210"/>
      <c r="C61" s="210"/>
      <c r="D61" s="210"/>
      <c r="E61" s="210"/>
      <c r="F61" s="210"/>
      <c r="G61" s="210"/>
      <c r="H61" s="210"/>
      <c r="I61" s="210"/>
      <c r="J61" s="210"/>
      <c r="K61" s="210"/>
      <c r="L61" s="210"/>
      <c r="M61" s="210"/>
      <c r="N61" s="210"/>
      <c r="O61" s="210"/>
      <c r="P61" s="210"/>
      <c r="Q61" s="210" t="s">
        <v>6451</v>
      </c>
      <c r="R61" s="210"/>
      <c r="S61" s="210"/>
      <c r="T61" s="210"/>
      <c r="U61" s="210"/>
      <c r="V61" s="210"/>
      <c r="W61" s="210"/>
      <c r="X61" s="210"/>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10"/>
      <c r="BA61" s="210"/>
      <c r="BB61" s="210"/>
      <c r="BC61" s="210"/>
      <c r="BD61" s="210"/>
      <c r="BE61" s="41"/>
      <c r="BF61" s="41"/>
      <c r="BG61" s="41"/>
      <c r="BH61" s="41"/>
      <c r="BI61" s="41"/>
      <c r="BJ61" s="41"/>
      <c r="BK61" s="41"/>
      <c r="BL61" s="41"/>
      <c r="BM61" s="41"/>
      <c r="BN61" s="41"/>
      <c r="BO61" s="41"/>
      <c r="BP61" s="41"/>
    </row>
    <row r="62" spans="1:68">
      <c r="A62" s="210" t="s">
        <v>6452</v>
      </c>
      <c r="B62" s="210"/>
      <c r="C62" s="210"/>
      <c r="D62" s="210" t="s">
        <v>6453</v>
      </c>
      <c r="E62" s="210"/>
      <c r="F62" s="210"/>
      <c r="G62" s="210"/>
      <c r="H62" s="210"/>
      <c r="I62" s="210" t="s">
        <v>6454</v>
      </c>
      <c r="J62" s="210"/>
      <c r="K62" s="210"/>
      <c r="L62" s="210"/>
      <c r="M62" s="210"/>
      <c r="N62" s="210"/>
      <c r="O62" s="210"/>
      <c r="P62" s="210"/>
      <c r="Q62" s="210" t="s">
        <v>6455</v>
      </c>
      <c r="R62" s="210"/>
      <c r="S62" s="210"/>
      <c r="T62" s="210"/>
      <c r="U62" s="210" t="s">
        <v>6075</v>
      </c>
      <c r="V62" s="210"/>
      <c r="W62" s="210"/>
      <c r="X62" s="210"/>
      <c r="Y62" s="210"/>
      <c r="Z62" s="210"/>
      <c r="AA62" s="210"/>
      <c r="AB62" s="210"/>
      <c r="AC62" s="210"/>
      <c r="AD62" s="210"/>
      <c r="AE62" s="210"/>
      <c r="AF62" s="210"/>
      <c r="AG62" s="210"/>
      <c r="AH62" s="210"/>
      <c r="AI62" s="210"/>
      <c r="AJ62" s="210"/>
      <c r="AK62" s="210"/>
      <c r="AL62" s="210"/>
      <c r="AM62" s="210"/>
      <c r="AN62" s="210"/>
      <c r="AO62" s="210"/>
      <c r="AP62" s="210"/>
      <c r="AQ62" s="210"/>
      <c r="AR62" s="210"/>
      <c r="AS62" s="210"/>
      <c r="AT62" s="210"/>
      <c r="AU62" s="210"/>
      <c r="AV62" s="210"/>
      <c r="AW62" s="210"/>
      <c r="AX62" s="210"/>
      <c r="AY62" s="210"/>
      <c r="AZ62" s="210"/>
      <c r="BA62" s="210"/>
      <c r="BB62" s="210"/>
      <c r="BC62" s="210"/>
      <c r="BD62" s="210"/>
      <c r="BE62" s="41"/>
      <c r="BF62" s="41"/>
      <c r="BG62" s="41"/>
      <c r="BH62" s="41"/>
      <c r="BI62" s="41"/>
      <c r="BJ62" s="41"/>
      <c r="BK62" s="41"/>
      <c r="BL62" s="41"/>
      <c r="BM62" s="41"/>
      <c r="BN62" s="41"/>
      <c r="BO62" s="41"/>
      <c r="BP62" s="41"/>
    </row>
    <row r="63" spans="1:68">
      <c r="A63" s="210"/>
      <c r="B63" s="210"/>
      <c r="C63" s="210"/>
      <c r="D63" s="210"/>
      <c r="E63" s="210"/>
      <c r="F63" s="210"/>
      <c r="G63" s="210"/>
      <c r="H63" s="210"/>
      <c r="I63" s="210"/>
      <c r="J63" s="210"/>
      <c r="K63" s="210"/>
      <c r="L63" s="210"/>
      <c r="M63" s="210"/>
      <c r="N63" s="210"/>
      <c r="O63" s="210"/>
      <c r="P63" s="210"/>
      <c r="Q63" s="210" t="s">
        <v>6456</v>
      </c>
      <c r="R63" s="210"/>
      <c r="S63" s="210"/>
      <c r="T63" s="210"/>
      <c r="U63" s="210"/>
      <c r="V63" s="210"/>
      <c r="W63" s="210"/>
      <c r="X63" s="210"/>
      <c r="Y63" s="210"/>
      <c r="Z63" s="210"/>
      <c r="AA63" s="210"/>
      <c r="AB63" s="210"/>
      <c r="AC63" s="210"/>
      <c r="AD63" s="210"/>
      <c r="AE63" s="210"/>
      <c r="AF63" s="210"/>
      <c r="AG63" s="210"/>
      <c r="AH63" s="210"/>
      <c r="AI63" s="210"/>
      <c r="AJ63" s="210"/>
      <c r="AK63" s="210"/>
      <c r="AL63" s="210"/>
      <c r="AM63" s="210"/>
      <c r="AN63" s="210"/>
      <c r="AO63" s="210"/>
      <c r="AP63" s="210"/>
      <c r="AQ63" s="210"/>
      <c r="AR63" s="210"/>
      <c r="AS63" s="210"/>
      <c r="AT63" s="210"/>
      <c r="AU63" s="210"/>
      <c r="AV63" s="210"/>
      <c r="AW63" s="210"/>
      <c r="AX63" s="210"/>
      <c r="AY63" s="210"/>
      <c r="AZ63" s="210"/>
      <c r="BA63" s="210"/>
      <c r="BB63" s="210"/>
      <c r="BC63" s="210"/>
      <c r="BD63" s="210"/>
      <c r="BE63" s="41"/>
      <c r="BF63" s="41"/>
      <c r="BG63" s="41"/>
      <c r="BH63" s="41"/>
      <c r="BI63" s="41"/>
      <c r="BJ63" s="41"/>
      <c r="BK63" s="41"/>
      <c r="BL63" s="41"/>
      <c r="BM63" s="41"/>
      <c r="BN63" s="41"/>
      <c r="BO63" s="41"/>
      <c r="BP63" s="41"/>
    </row>
    <row r="64" spans="1:68">
      <c r="A64" s="210" t="s">
        <v>6002</v>
      </c>
      <c r="B64" s="210"/>
      <c r="C64" s="210"/>
      <c r="D64" s="210" t="s">
        <v>6002</v>
      </c>
      <c r="E64" s="210"/>
      <c r="F64" s="210"/>
      <c r="G64" s="210"/>
      <c r="H64" s="210"/>
      <c r="I64" s="210" t="s">
        <v>6002</v>
      </c>
      <c r="J64" s="210"/>
      <c r="K64" s="210"/>
      <c r="L64" s="210"/>
      <c r="M64" s="210"/>
      <c r="N64" s="210"/>
      <c r="O64" s="210"/>
      <c r="P64" s="210"/>
      <c r="Q64" s="210" t="s">
        <v>6002</v>
      </c>
      <c r="R64" s="210"/>
      <c r="S64" s="210"/>
      <c r="T64" s="210"/>
      <c r="U64" s="210" t="s">
        <v>6105</v>
      </c>
      <c r="V64" s="210"/>
      <c r="W64" s="210"/>
      <c r="X64" s="210"/>
      <c r="Y64" s="210"/>
      <c r="Z64" s="210"/>
      <c r="AA64" s="210"/>
      <c r="AB64" s="210"/>
      <c r="AC64" s="210"/>
      <c r="AD64" s="210"/>
      <c r="AE64" s="210"/>
      <c r="AF64" s="210"/>
      <c r="AG64" s="210"/>
      <c r="AH64" s="210"/>
      <c r="AI64" s="210"/>
      <c r="AJ64" s="210"/>
      <c r="AK64" s="210"/>
      <c r="AL64" s="210"/>
      <c r="AM64" s="210"/>
      <c r="AN64" s="210"/>
      <c r="AO64" s="210"/>
      <c r="AP64" s="210"/>
      <c r="AQ64" s="210"/>
      <c r="AR64" s="210"/>
      <c r="AS64" s="210"/>
      <c r="AT64" s="210"/>
      <c r="AU64" s="210"/>
      <c r="AV64" s="210"/>
      <c r="AW64" s="210"/>
      <c r="AX64" s="210"/>
      <c r="AY64" s="210"/>
      <c r="AZ64" s="210"/>
      <c r="BA64" s="210"/>
      <c r="BB64" s="210"/>
      <c r="BC64" s="210"/>
      <c r="BD64" s="210"/>
      <c r="BE64" s="41"/>
      <c r="BF64" s="41"/>
      <c r="BG64" s="41"/>
      <c r="BH64" s="41"/>
      <c r="BI64" s="41"/>
      <c r="BJ64" s="41"/>
      <c r="BK64" s="41"/>
      <c r="BL64" s="41"/>
      <c r="BM64" s="41"/>
      <c r="BN64" s="41"/>
      <c r="BO64" s="41"/>
      <c r="BP64" s="41"/>
    </row>
    <row r="65" spans="1:68">
      <c r="A65" s="210"/>
      <c r="B65" s="210"/>
      <c r="C65" s="210"/>
      <c r="D65" s="210"/>
      <c r="E65" s="210"/>
      <c r="F65" s="210"/>
      <c r="G65" s="210"/>
      <c r="H65" s="210"/>
      <c r="I65" s="210"/>
      <c r="J65" s="210"/>
      <c r="K65" s="210"/>
      <c r="L65" s="210"/>
      <c r="M65" s="210"/>
      <c r="N65" s="210"/>
      <c r="O65" s="210"/>
      <c r="P65" s="210"/>
      <c r="Q65" s="210" t="s">
        <v>6002</v>
      </c>
      <c r="R65" s="210"/>
      <c r="S65" s="210"/>
      <c r="T65" s="210"/>
      <c r="U65" s="210"/>
      <c r="V65" s="210"/>
      <c r="W65" s="210"/>
      <c r="X65" s="210"/>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c r="AU65" s="210"/>
      <c r="AV65" s="210"/>
      <c r="AW65" s="210"/>
      <c r="AX65" s="210"/>
      <c r="AY65" s="210"/>
      <c r="AZ65" s="210"/>
      <c r="BA65" s="210"/>
      <c r="BB65" s="210"/>
      <c r="BC65" s="210"/>
      <c r="BD65" s="210"/>
      <c r="BE65" s="41"/>
      <c r="BF65" s="41"/>
      <c r="BG65" s="41"/>
      <c r="BH65" s="41"/>
      <c r="BI65" s="41"/>
      <c r="BJ65" s="41"/>
      <c r="BK65" s="41"/>
      <c r="BL65" s="41"/>
      <c r="BM65" s="41"/>
      <c r="BN65" s="41"/>
      <c r="BO65" s="41"/>
      <c r="BP65" s="41"/>
    </row>
    <row r="66" spans="1:68">
      <c r="A66" s="210" t="s">
        <v>6457</v>
      </c>
      <c r="B66" s="210"/>
      <c r="C66" s="210"/>
      <c r="D66" s="210" t="s">
        <v>6458</v>
      </c>
      <c r="E66" s="210"/>
      <c r="F66" s="210"/>
      <c r="G66" s="210"/>
      <c r="H66" s="210"/>
      <c r="I66" s="210"/>
      <c r="J66" s="210"/>
      <c r="K66" s="210" t="s">
        <v>6459</v>
      </c>
      <c r="L66" s="210"/>
      <c r="M66" s="210"/>
      <c r="N66" s="210"/>
      <c r="O66" s="210"/>
      <c r="P66" s="210"/>
      <c r="Q66" s="210" t="s">
        <v>4923</v>
      </c>
      <c r="R66" s="210"/>
      <c r="S66" s="210"/>
      <c r="T66" s="210"/>
      <c r="U66" s="210"/>
      <c r="V66" s="210"/>
      <c r="W66" s="210"/>
      <c r="X66" s="210"/>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c r="AU66" s="210"/>
      <c r="AV66" s="210"/>
      <c r="AW66" s="210"/>
      <c r="AX66" s="210"/>
      <c r="AY66" s="210"/>
      <c r="AZ66" s="210"/>
      <c r="BA66" s="210"/>
      <c r="BB66" s="210"/>
      <c r="BC66" s="210"/>
      <c r="BD66" s="210"/>
      <c r="BE66" s="41"/>
      <c r="BF66" s="41"/>
      <c r="BG66" s="41"/>
      <c r="BH66" s="41"/>
      <c r="BI66" s="41"/>
      <c r="BJ66" s="41"/>
      <c r="BK66" s="41"/>
      <c r="BL66" s="41"/>
      <c r="BM66" s="41"/>
      <c r="BN66" s="41"/>
      <c r="BO66" s="41"/>
      <c r="BP66" s="41"/>
    </row>
    <row r="67" spans="1:68">
      <c r="A67" s="210"/>
      <c r="B67" s="210"/>
      <c r="C67" s="210"/>
      <c r="D67" s="210"/>
      <c r="E67" s="210"/>
      <c r="F67" s="210"/>
      <c r="G67" s="210"/>
      <c r="H67" s="210"/>
      <c r="I67" s="210"/>
      <c r="J67" s="210"/>
      <c r="K67" s="210"/>
      <c r="L67" s="210"/>
      <c r="M67" s="210"/>
      <c r="N67" s="210"/>
      <c r="O67" s="210"/>
      <c r="P67" s="210"/>
      <c r="Q67" s="210"/>
      <c r="R67" s="210"/>
      <c r="S67" s="210"/>
      <c r="T67" s="210"/>
      <c r="U67" s="210"/>
      <c r="V67" s="210"/>
      <c r="W67" s="210"/>
      <c r="X67" s="210"/>
      <c r="Y67" s="210"/>
      <c r="Z67" s="210"/>
      <c r="AA67" s="210"/>
      <c r="AB67" s="210"/>
      <c r="AC67" s="210"/>
      <c r="AD67" s="210"/>
      <c r="AE67" s="210"/>
      <c r="AF67" s="210"/>
      <c r="AG67" s="210"/>
      <c r="AH67" s="210"/>
      <c r="AI67" s="210"/>
      <c r="AJ67" s="210"/>
      <c r="AK67" s="210"/>
      <c r="AL67" s="210"/>
      <c r="AM67" s="210"/>
      <c r="AN67" s="210"/>
      <c r="AO67" s="210"/>
      <c r="AP67" s="210"/>
      <c r="AQ67" s="210"/>
      <c r="AR67" s="210"/>
      <c r="AS67" s="210"/>
      <c r="AT67" s="210"/>
      <c r="AU67" s="210"/>
      <c r="AV67" s="210"/>
      <c r="AW67" s="210"/>
      <c r="AX67" s="210"/>
      <c r="AY67" s="210"/>
      <c r="AZ67" s="210"/>
      <c r="BA67" s="210"/>
      <c r="BB67" s="210"/>
      <c r="BC67" s="210"/>
      <c r="BD67" s="210"/>
      <c r="BE67" s="41"/>
      <c r="BF67" s="41"/>
      <c r="BG67" s="41"/>
      <c r="BH67" s="41"/>
      <c r="BI67" s="41"/>
      <c r="BJ67" s="41"/>
      <c r="BK67" s="41"/>
      <c r="BL67" s="41"/>
      <c r="BM67" s="41"/>
      <c r="BN67" s="41"/>
      <c r="BO67" s="41"/>
      <c r="BP67" s="41"/>
    </row>
    <row r="68" spans="1:68">
      <c r="A68" s="210"/>
      <c r="B68" s="210"/>
      <c r="C68" s="210"/>
      <c r="D68" s="210"/>
      <c r="E68" s="210"/>
      <c r="F68" s="210"/>
      <c r="G68" s="210"/>
      <c r="H68" s="210"/>
      <c r="I68" s="210"/>
      <c r="J68" s="210"/>
      <c r="K68" s="210"/>
      <c r="L68" s="210"/>
      <c r="M68" s="210"/>
      <c r="N68" s="210"/>
      <c r="O68" s="210"/>
      <c r="P68" s="210"/>
      <c r="Q68" s="210"/>
      <c r="R68" s="210"/>
      <c r="S68" s="210"/>
      <c r="T68" s="210" t="s">
        <v>6460</v>
      </c>
      <c r="U68" s="210"/>
      <c r="V68" s="210"/>
      <c r="W68" s="210"/>
      <c r="X68" s="210"/>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c r="AU68" s="210"/>
      <c r="AV68" s="210"/>
      <c r="AW68" s="210"/>
      <c r="AX68" s="210"/>
      <c r="AY68" s="210"/>
      <c r="AZ68" s="210"/>
      <c r="BA68" s="210"/>
      <c r="BB68" s="210"/>
      <c r="BC68" s="210"/>
      <c r="BD68" s="210"/>
      <c r="BE68" s="41"/>
      <c r="BF68" s="41"/>
      <c r="BG68" s="41"/>
      <c r="BH68" s="41"/>
      <c r="BI68" s="41"/>
      <c r="BJ68" s="41"/>
      <c r="BK68" s="41"/>
      <c r="BL68" s="41"/>
      <c r="BM68" s="41"/>
      <c r="BN68" s="41"/>
      <c r="BO68" s="41"/>
      <c r="BP68" s="41"/>
    </row>
    <row r="69" spans="1:68">
      <c r="A69" s="210"/>
      <c r="B69" s="210"/>
      <c r="C69" s="210"/>
      <c r="D69" s="210"/>
      <c r="E69" s="210"/>
      <c r="F69" s="210"/>
      <c r="G69" s="210"/>
      <c r="H69" s="210"/>
      <c r="I69" s="210"/>
      <c r="J69" s="210"/>
      <c r="K69" s="210"/>
      <c r="L69" s="210"/>
      <c r="M69" s="210"/>
      <c r="N69" s="210"/>
      <c r="O69" s="210"/>
      <c r="P69" s="210"/>
      <c r="Q69" s="210"/>
      <c r="R69" s="210"/>
      <c r="S69" s="210"/>
      <c r="T69" s="210"/>
      <c r="U69" s="210"/>
      <c r="V69" s="210"/>
      <c r="W69" s="210"/>
      <c r="X69" s="210"/>
      <c r="Y69" s="210"/>
      <c r="Z69" s="210"/>
      <c r="AA69" s="210"/>
      <c r="AB69" s="210"/>
      <c r="AC69" s="210"/>
      <c r="AD69" s="210"/>
      <c r="AE69" s="210"/>
      <c r="AF69" s="210"/>
      <c r="AG69" s="210"/>
      <c r="AH69" s="210"/>
      <c r="AI69" s="210"/>
      <c r="AJ69" s="210"/>
      <c r="AK69" s="210"/>
      <c r="AL69" s="210"/>
      <c r="AM69" s="210"/>
      <c r="AN69" s="210"/>
      <c r="AO69" s="210"/>
      <c r="AP69" s="210"/>
      <c r="AQ69" s="210"/>
      <c r="AR69" s="210"/>
      <c r="AS69" s="210"/>
      <c r="AT69" s="210"/>
      <c r="AU69" s="210"/>
      <c r="AV69" s="210"/>
      <c r="AW69" s="210"/>
      <c r="AX69" s="210"/>
      <c r="AY69" s="210"/>
      <c r="AZ69" s="210"/>
      <c r="BA69" s="210"/>
      <c r="BB69" s="210"/>
      <c r="BC69" s="210"/>
      <c r="BD69" s="210"/>
      <c r="BE69" s="41"/>
      <c r="BF69" s="41"/>
      <c r="BG69" s="41"/>
      <c r="BH69" s="41"/>
      <c r="BI69" s="41"/>
      <c r="BJ69" s="41"/>
      <c r="BK69" s="41"/>
      <c r="BL69" s="41"/>
      <c r="BM69" s="41"/>
      <c r="BN69" s="41"/>
      <c r="BO69" s="41"/>
      <c r="BP69" s="41"/>
    </row>
    <row r="70" spans="1:68">
      <c r="A70" s="210"/>
      <c r="B70" s="210"/>
      <c r="C70" s="210"/>
      <c r="D70" s="210" t="s">
        <v>6461</v>
      </c>
      <c r="E70" s="210"/>
      <c r="F70" s="210"/>
      <c r="G70" s="210"/>
      <c r="H70" s="210"/>
      <c r="I70" s="210" t="s">
        <v>6462</v>
      </c>
      <c r="J70" s="210"/>
      <c r="K70" s="210"/>
      <c r="L70" s="210"/>
      <c r="M70" s="210"/>
      <c r="N70" s="210"/>
      <c r="O70" s="210"/>
      <c r="P70" s="210"/>
      <c r="Q70" s="210"/>
      <c r="R70" s="210"/>
      <c r="S70" s="210"/>
      <c r="T70" s="210"/>
      <c r="U70" s="210"/>
      <c r="V70" s="210"/>
      <c r="W70" s="210"/>
      <c r="X70" s="210"/>
      <c r="Y70" s="210"/>
      <c r="Z70" s="210"/>
      <c r="AA70" s="210"/>
      <c r="AB70" s="210"/>
      <c r="AC70" s="210"/>
      <c r="AD70" s="210"/>
      <c r="AE70" s="210"/>
      <c r="AF70" s="210"/>
      <c r="AG70" s="210"/>
      <c r="AH70" s="210"/>
      <c r="AI70" s="210"/>
      <c r="AJ70" s="210"/>
      <c r="AK70" s="210"/>
      <c r="AL70" s="210"/>
      <c r="AM70" s="210"/>
      <c r="AN70" s="210"/>
      <c r="AO70" s="210"/>
      <c r="AP70" s="210"/>
      <c r="AQ70" s="210"/>
      <c r="AR70" s="210"/>
      <c r="AS70" s="210"/>
      <c r="AT70" s="210"/>
      <c r="AU70" s="210"/>
      <c r="AV70" s="210"/>
      <c r="AW70" s="210"/>
      <c r="AX70" s="210"/>
      <c r="AY70" s="210"/>
      <c r="AZ70" s="210"/>
      <c r="BA70" s="210"/>
      <c r="BB70" s="210"/>
      <c r="BC70" s="210"/>
      <c r="BD70" s="210"/>
      <c r="BE70" s="41"/>
      <c r="BF70" s="41"/>
      <c r="BG70" s="41"/>
      <c r="BH70" s="41"/>
      <c r="BI70" s="41"/>
      <c r="BJ70" s="41"/>
      <c r="BK70" s="41"/>
      <c r="BL70" s="41"/>
      <c r="BM70" s="41"/>
      <c r="BN70" s="41"/>
      <c r="BO70" s="41"/>
      <c r="BP70" s="41"/>
    </row>
    <row r="71" spans="1:68">
      <c r="A71" s="210"/>
      <c r="B71" s="210"/>
      <c r="C71" s="210"/>
      <c r="D71" s="210"/>
      <c r="E71" s="210"/>
      <c r="F71" s="210"/>
      <c r="G71" s="210"/>
      <c r="H71" s="210"/>
      <c r="I71" s="210"/>
      <c r="J71" s="210"/>
      <c r="K71" s="210"/>
      <c r="L71" s="210" t="s">
        <v>5983</v>
      </c>
      <c r="M71" s="210"/>
      <c r="N71" s="210"/>
      <c r="O71" s="210"/>
      <c r="P71" s="210" t="s">
        <v>6463</v>
      </c>
      <c r="Q71" s="210" t="s">
        <v>6464</v>
      </c>
      <c r="R71" s="210"/>
      <c r="S71" s="210" t="s">
        <v>6465</v>
      </c>
      <c r="T71" s="210"/>
      <c r="U71" s="210" t="s">
        <v>6466</v>
      </c>
      <c r="V71" s="210"/>
      <c r="W71" s="210"/>
      <c r="X71" s="210" t="s">
        <v>6467</v>
      </c>
      <c r="Y71" s="210"/>
      <c r="Z71" s="210"/>
      <c r="AA71" s="210"/>
      <c r="AB71" s="210"/>
      <c r="AC71" s="210"/>
      <c r="AD71" s="210"/>
      <c r="AE71" s="210"/>
      <c r="AF71" s="210"/>
      <c r="AG71" s="210"/>
      <c r="AH71" s="210"/>
      <c r="AI71" s="210"/>
      <c r="AJ71" s="210"/>
      <c r="AK71" s="210"/>
      <c r="AL71" s="210"/>
      <c r="AM71" s="210"/>
      <c r="AN71" s="210"/>
      <c r="AO71" s="210"/>
      <c r="AP71" s="210"/>
      <c r="AQ71" s="210"/>
      <c r="AR71" s="210"/>
      <c r="AS71" s="210"/>
      <c r="AT71" s="210"/>
      <c r="AU71" s="210"/>
      <c r="AV71" s="210"/>
      <c r="AW71" s="210"/>
      <c r="AX71" s="210"/>
      <c r="AY71" s="210"/>
      <c r="AZ71" s="210"/>
      <c r="BA71" s="210"/>
      <c r="BB71" s="210"/>
      <c r="BC71" s="210"/>
      <c r="BD71" s="210"/>
      <c r="BE71" s="41"/>
      <c r="BF71" s="41"/>
      <c r="BG71" s="41"/>
      <c r="BH71" s="41"/>
      <c r="BI71" s="41"/>
      <c r="BJ71" s="41"/>
      <c r="BK71" s="41"/>
      <c r="BL71" s="41"/>
      <c r="BM71" s="41"/>
      <c r="BN71" s="41"/>
      <c r="BO71" s="41"/>
      <c r="BP71" s="41"/>
    </row>
    <row r="72" spans="1:68">
      <c r="A72" s="210"/>
      <c r="B72" s="210"/>
      <c r="C72" s="210"/>
      <c r="D72" s="210"/>
      <c r="E72" s="210"/>
      <c r="F72" s="210"/>
      <c r="G72" s="210"/>
      <c r="H72" s="210"/>
      <c r="I72" s="210"/>
      <c r="J72" s="210"/>
      <c r="K72" s="210"/>
      <c r="L72" s="210"/>
      <c r="M72" s="210"/>
      <c r="N72" s="210"/>
      <c r="O72" s="210"/>
      <c r="P72" s="210"/>
      <c r="Q72" s="210"/>
      <c r="R72" s="210"/>
      <c r="S72" s="210"/>
      <c r="T72" s="210"/>
      <c r="U72" s="210"/>
      <c r="V72" s="210"/>
      <c r="W72" s="210"/>
      <c r="X72" s="210"/>
      <c r="Y72" s="210"/>
      <c r="Z72" s="210"/>
      <c r="AA72" s="210" t="s">
        <v>5986</v>
      </c>
      <c r="AB72" s="210"/>
      <c r="AC72" s="210"/>
      <c r="AD72" s="210"/>
      <c r="AE72" s="210"/>
      <c r="AF72" s="210"/>
      <c r="AG72" s="210"/>
      <c r="AH72" s="210"/>
      <c r="AI72" s="210"/>
      <c r="AJ72" s="210"/>
      <c r="AK72" s="210"/>
      <c r="AL72" s="210"/>
      <c r="AM72" s="210"/>
      <c r="AN72" s="210"/>
      <c r="AO72" s="210"/>
      <c r="AP72" s="210"/>
      <c r="AQ72" s="210"/>
      <c r="AR72" s="210"/>
      <c r="AS72" s="210"/>
      <c r="AT72" s="210"/>
      <c r="AU72" s="210"/>
      <c r="AV72" s="210"/>
      <c r="AW72" s="210"/>
      <c r="AX72" s="210"/>
      <c r="AY72" s="210"/>
      <c r="AZ72" s="210"/>
      <c r="BA72" s="210"/>
      <c r="BB72" s="210"/>
      <c r="BC72" s="210"/>
      <c r="BD72" s="210"/>
      <c r="BE72" s="41"/>
      <c r="BF72" s="41"/>
      <c r="BG72" s="41"/>
      <c r="BH72" s="41"/>
      <c r="BI72" s="41"/>
      <c r="BJ72" s="41"/>
      <c r="BK72" s="41"/>
      <c r="BL72" s="41"/>
      <c r="BM72" s="41"/>
      <c r="BN72" s="41"/>
      <c r="BO72" s="41"/>
      <c r="BP72" s="41"/>
    </row>
    <row r="73" spans="1:68">
      <c r="A73" s="210"/>
      <c r="B73" s="210"/>
      <c r="C73" s="210"/>
      <c r="D73" s="210"/>
      <c r="E73" s="210"/>
      <c r="F73" s="210"/>
      <c r="G73" s="210"/>
      <c r="H73" s="210"/>
      <c r="I73" s="210"/>
      <c r="J73" s="210"/>
      <c r="K73" s="210"/>
      <c r="L73" s="210"/>
      <c r="M73" s="210"/>
      <c r="N73" s="210"/>
      <c r="O73" s="210"/>
      <c r="P73" s="210"/>
      <c r="Q73" s="210"/>
      <c r="R73" s="210"/>
      <c r="S73" s="210"/>
      <c r="T73" s="210"/>
      <c r="U73" s="210"/>
      <c r="V73" s="210"/>
      <c r="W73" s="210"/>
      <c r="X73" s="210"/>
      <c r="Y73" s="210"/>
      <c r="Z73" s="210"/>
      <c r="AA73" s="210"/>
      <c r="AB73" s="210"/>
      <c r="AC73" s="210"/>
      <c r="AD73" s="210"/>
      <c r="AE73" s="210"/>
      <c r="AF73" s="210"/>
      <c r="AG73" s="210"/>
      <c r="AH73" s="210"/>
      <c r="AI73" s="210"/>
      <c r="AJ73" s="210"/>
      <c r="AK73" s="210"/>
      <c r="AL73" s="210"/>
      <c r="AM73" s="210"/>
      <c r="AN73" s="210"/>
      <c r="AO73" s="210"/>
      <c r="AP73" s="210"/>
      <c r="AQ73" s="210"/>
      <c r="AR73" s="210"/>
      <c r="AS73" s="210"/>
      <c r="AT73" s="210"/>
      <c r="AU73" s="210"/>
      <c r="AV73" s="210"/>
      <c r="AW73" s="210"/>
      <c r="AX73" s="210"/>
      <c r="AY73" s="210"/>
      <c r="AZ73" s="210"/>
      <c r="BA73" s="210"/>
      <c r="BB73" s="210"/>
      <c r="BC73" s="210"/>
      <c r="BD73" s="210"/>
      <c r="BE73" s="41"/>
      <c r="BF73" s="41"/>
      <c r="BG73" s="41"/>
      <c r="BH73" s="41"/>
      <c r="BI73" s="41"/>
      <c r="BJ73" s="41"/>
      <c r="BK73" s="41"/>
      <c r="BL73" s="41"/>
      <c r="BM73" s="41"/>
      <c r="BN73" s="41"/>
      <c r="BO73" s="41"/>
      <c r="BP73" s="41"/>
    </row>
    <row r="74" spans="1:68">
      <c r="A74" s="210" t="s">
        <v>6468</v>
      </c>
      <c r="B74" s="210" t="s">
        <v>6469</v>
      </c>
      <c r="C74" s="210" t="s">
        <v>6470</v>
      </c>
      <c r="D74" s="210"/>
      <c r="E74" s="210"/>
      <c r="F74" s="210"/>
      <c r="G74" s="210"/>
      <c r="H74" s="210"/>
      <c r="I74" s="210"/>
      <c r="J74" s="210"/>
      <c r="K74" s="210"/>
      <c r="L74" s="210"/>
      <c r="M74" s="210"/>
      <c r="N74" s="210"/>
      <c r="O74" s="210"/>
      <c r="P74" s="210"/>
      <c r="Q74" s="210"/>
      <c r="R74" s="210"/>
      <c r="S74" s="210"/>
      <c r="T74" s="210"/>
      <c r="U74" s="210"/>
      <c r="V74" s="210"/>
      <c r="W74" s="210"/>
      <c r="X74" s="210"/>
      <c r="Y74" s="210"/>
      <c r="Z74" s="210"/>
      <c r="AA74" s="210"/>
      <c r="AB74" s="210"/>
      <c r="AC74" s="210"/>
      <c r="AD74" s="210"/>
      <c r="AE74" s="210"/>
      <c r="AF74" s="210"/>
      <c r="AG74" s="210"/>
      <c r="AH74" s="210"/>
      <c r="AI74" s="210"/>
      <c r="AJ74" s="210"/>
      <c r="AK74" s="210"/>
      <c r="AL74" s="210"/>
      <c r="AM74" s="210"/>
      <c r="AN74" s="210"/>
      <c r="AO74" s="210"/>
      <c r="AP74" s="210"/>
      <c r="AQ74" s="210"/>
      <c r="AR74" s="210"/>
      <c r="AS74" s="210"/>
      <c r="AT74" s="210"/>
      <c r="AU74" s="210"/>
      <c r="AV74" s="210"/>
      <c r="AW74" s="210"/>
      <c r="AX74" s="210"/>
      <c r="AY74" s="210"/>
      <c r="AZ74" s="210"/>
      <c r="BA74" s="210"/>
      <c r="BB74" s="210"/>
      <c r="BC74" s="210"/>
      <c r="BD74" s="210"/>
      <c r="BE74" s="41"/>
      <c r="BF74" s="41"/>
      <c r="BG74" s="41"/>
      <c r="BH74" s="41"/>
      <c r="BI74" s="41"/>
      <c r="BJ74" s="41"/>
      <c r="BK74" s="41"/>
      <c r="BL74" s="41"/>
      <c r="BM74" s="41"/>
      <c r="BN74" s="41"/>
      <c r="BO74" s="41"/>
      <c r="BP74" s="41"/>
    </row>
    <row r="75" spans="1:68">
      <c r="A75" s="210"/>
      <c r="B75" s="210"/>
      <c r="C75" s="210"/>
      <c r="D75" s="210"/>
      <c r="E75" s="210"/>
      <c r="F75" s="210"/>
      <c r="G75" s="210"/>
      <c r="H75" s="210"/>
      <c r="I75" s="210"/>
      <c r="J75" s="210"/>
      <c r="K75" s="210"/>
      <c r="L75" s="210"/>
      <c r="M75" s="210"/>
      <c r="N75" s="210"/>
      <c r="O75" s="210"/>
      <c r="P75" s="210"/>
      <c r="Q75" s="210"/>
      <c r="R75" s="210"/>
      <c r="S75" s="210"/>
      <c r="T75" s="210"/>
      <c r="U75" s="210"/>
      <c r="V75" s="210"/>
      <c r="W75" s="210"/>
      <c r="X75" s="210"/>
      <c r="Y75" s="210"/>
      <c r="Z75" s="210"/>
      <c r="AA75" s="210"/>
      <c r="AB75" s="210"/>
      <c r="AC75" s="210"/>
      <c r="AD75" s="210"/>
      <c r="AE75" s="210"/>
      <c r="AF75" s="210"/>
      <c r="AG75" s="210"/>
      <c r="AH75" s="210"/>
      <c r="AI75" s="210"/>
      <c r="AJ75" s="210"/>
      <c r="AK75" s="210"/>
      <c r="AL75" s="210"/>
      <c r="AM75" s="210"/>
      <c r="AN75" s="210"/>
      <c r="AO75" s="210"/>
      <c r="AP75" s="210"/>
      <c r="AQ75" s="210"/>
      <c r="AR75" s="210"/>
      <c r="AS75" s="210"/>
      <c r="AT75" s="210"/>
      <c r="AU75" s="210"/>
      <c r="AV75" s="210"/>
      <c r="AW75" s="210"/>
      <c r="AX75" s="210"/>
      <c r="AY75" s="210"/>
      <c r="AZ75" s="210"/>
      <c r="BA75" s="210"/>
      <c r="BB75" s="210"/>
      <c r="BC75" s="210"/>
      <c r="BD75" s="210"/>
      <c r="BE75" s="41"/>
      <c r="BF75" s="41"/>
      <c r="BG75" s="41"/>
      <c r="BH75" s="41"/>
      <c r="BI75" s="41"/>
      <c r="BJ75" s="41"/>
      <c r="BK75" s="41"/>
      <c r="BL75" s="41"/>
      <c r="BM75" s="41"/>
      <c r="BN75" s="41"/>
      <c r="BO75" s="41"/>
      <c r="BP75" s="41"/>
    </row>
    <row r="76" spans="1:68">
      <c r="A76" s="210"/>
      <c r="B76" s="210"/>
      <c r="C76" s="210"/>
      <c r="D76" s="210"/>
      <c r="E76" s="210"/>
      <c r="F76" s="210"/>
      <c r="G76" s="210"/>
      <c r="H76" s="210"/>
      <c r="I76" s="210"/>
      <c r="J76" s="210"/>
      <c r="K76" s="210"/>
      <c r="L76" s="210"/>
      <c r="M76" s="210"/>
      <c r="N76" s="210"/>
      <c r="O76" s="210"/>
      <c r="P76" s="210"/>
      <c r="Q76" s="210"/>
      <c r="R76" s="210"/>
      <c r="S76" s="210"/>
      <c r="T76" s="210"/>
      <c r="U76" s="210"/>
      <c r="V76" s="210"/>
      <c r="W76" s="210"/>
      <c r="X76" s="210"/>
      <c r="Y76" s="210"/>
      <c r="Z76" s="210"/>
      <c r="AA76" s="210"/>
      <c r="AB76" s="210"/>
      <c r="AC76" s="210"/>
      <c r="AD76" s="210"/>
      <c r="AE76" s="210"/>
      <c r="AF76" s="210"/>
      <c r="AG76" s="210"/>
      <c r="AH76" s="210"/>
      <c r="AI76" s="210"/>
      <c r="AJ76" s="210"/>
      <c r="AK76" s="210"/>
      <c r="AL76" s="210"/>
      <c r="AM76" s="210"/>
      <c r="AN76" s="210"/>
      <c r="AO76" s="210"/>
      <c r="AP76" s="210"/>
      <c r="AQ76" s="210"/>
      <c r="AR76" s="210"/>
      <c r="AS76" s="210"/>
      <c r="AT76" s="210"/>
      <c r="AU76" s="210"/>
      <c r="AV76" s="210"/>
      <c r="AW76" s="210"/>
      <c r="AX76" s="210"/>
      <c r="AY76" s="210"/>
      <c r="AZ76" s="210"/>
      <c r="BA76" s="210"/>
      <c r="BB76" s="210"/>
      <c r="BC76" s="210"/>
      <c r="BD76" s="210"/>
      <c r="BE76" s="41"/>
      <c r="BF76" s="41"/>
      <c r="BG76" s="41"/>
      <c r="BH76" s="41"/>
      <c r="BI76" s="41"/>
      <c r="BJ76" s="41"/>
      <c r="BK76" s="41"/>
      <c r="BL76" s="41"/>
      <c r="BM76" s="41"/>
      <c r="BN76" s="41"/>
      <c r="BO76" s="41"/>
      <c r="BP76" s="41"/>
    </row>
    <row r="77" spans="1:68">
      <c r="A77" s="210"/>
      <c r="B77" s="210" t="s">
        <v>6002</v>
      </c>
      <c r="C77" s="210" t="s">
        <v>6471</v>
      </c>
      <c r="D77" s="210"/>
      <c r="E77" s="210"/>
      <c r="F77" s="210" t="s">
        <v>6472</v>
      </c>
      <c r="G77" s="210"/>
      <c r="H77" s="210"/>
      <c r="I77" s="210"/>
      <c r="J77" s="210" t="s">
        <v>6473</v>
      </c>
      <c r="K77" s="210"/>
      <c r="L77" s="210"/>
      <c r="M77" s="210"/>
      <c r="N77" s="210"/>
      <c r="O77" s="210" t="s">
        <v>6310</v>
      </c>
      <c r="P77" s="210"/>
      <c r="Q77" s="210" t="s">
        <v>5992</v>
      </c>
      <c r="R77" s="210"/>
      <c r="S77" s="210" t="s">
        <v>6171</v>
      </c>
      <c r="T77" s="210"/>
      <c r="U77" s="210" t="s">
        <v>6170</v>
      </c>
      <c r="V77" s="210"/>
      <c r="W77" s="210"/>
      <c r="X77" s="210" t="s">
        <v>6474</v>
      </c>
      <c r="Y77" s="210"/>
      <c r="Z77" s="210" t="s">
        <v>6475</v>
      </c>
      <c r="AA77" s="210"/>
      <c r="AB77" s="210"/>
      <c r="AC77" s="210" t="s">
        <v>6172</v>
      </c>
      <c r="AD77" s="210"/>
      <c r="AE77" s="210"/>
      <c r="AF77" s="210"/>
      <c r="AG77" s="210"/>
      <c r="AH77" s="210"/>
      <c r="AI77" s="210"/>
      <c r="AJ77" s="210"/>
      <c r="AK77" s="210"/>
      <c r="AL77" s="210"/>
      <c r="AM77" s="210"/>
      <c r="AN77" s="210"/>
      <c r="AO77" s="210"/>
      <c r="AP77" s="210"/>
      <c r="AQ77" s="210"/>
      <c r="AR77" s="210"/>
      <c r="AS77" s="210"/>
      <c r="AT77" s="210"/>
      <c r="AU77" s="210"/>
      <c r="AV77" s="210"/>
      <c r="AW77" s="210"/>
      <c r="AX77" s="210"/>
      <c r="AY77" s="210"/>
      <c r="AZ77" s="210"/>
      <c r="BA77" s="210"/>
      <c r="BB77" s="210"/>
      <c r="BC77" s="210"/>
      <c r="BD77" s="210"/>
      <c r="BE77" s="41"/>
      <c r="BF77" s="41"/>
      <c r="BG77" s="41"/>
      <c r="BH77" s="41"/>
      <c r="BI77" s="41"/>
      <c r="BJ77" s="41"/>
      <c r="BK77" s="41"/>
      <c r="BL77" s="41"/>
      <c r="BM77" s="41"/>
      <c r="BN77" s="41"/>
      <c r="BO77" s="41"/>
      <c r="BP77" s="41"/>
    </row>
    <row r="78" spans="1:68">
      <c r="A78" s="210"/>
      <c r="B78" s="210"/>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c r="AA78" s="210"/>
      <c r="AB78" s="210"/>
      <c r="AC78" s="210"/>
      <c r="AD78" s="210"/>
      <c r="AE78" s="210"/>
      <c r="AF78" s="210"/>
      <c r="AG78" s="210"/>
      <c r="AH78" s="210"/>
      <c r="AI78" s="210"/>
      <c r="AJ78" s="210"/>
      <c r="AK78" s="210"/>
      <c r="AL78" s="210"/>
      <c r="AM78" s="210"/>
      <c r="AN78" s="210"/>
      <c r="AO78" s="210"/>
      <c r="AP78" s="210"/>
      <c r="AQ78" s="210"/>
      <c r="AR78" s="210"/>
      <c r="AS78" s="210"/>
      <c r="AT78" s="210"/>
      <c r="AU78" s="210"/>
      <c r="AV78" s="210"/>
      <c r="AW78" s="210"/>
      <c r="AX78" s="210"/>
      <c r="AY78" s="210"/>
      <c r="AZ78" s="210"/>
      <c r="BA78" s="210"/>
      <c r="BB78" s="210"/>
      <c r="BC78" s="210"/>
      <c r="BD78" s="210"/>
      <c r="BE78" s="41"/>
      <c r="BF78" s="41"/>
      <c r="BG78" s="41"/>
      <c r="BH78" s="41"/>
      <c r="BI78" s="41"/>
      <c r="BJ78" s="41"/>
      <c r="BK78" s="41"/>
      <c r="BL78" s="41"/>
      <c r="BM78" s="41"/>
      <c r="BN78" s="41"/>
      <c r="BO78" s="41"/>
      <c r="BP78" s="41"/>
    </row>
    <row r="79" spans="1:68">
      <c r="A79" s="210"/>
      <c r="B79" s="210"/>
      <c r="C79" s="210"/>
      <c r="D79" s="210"/>
      <c r="E79" s="210"/>
      <c r="F79" s="210"/>
      <c r="G79" s="210"/>
      <c r="H79" s="210"/>
      <c r="I79" s="210"/>
      <c r="J79" s="210"/>
      <c r="K79" s="210"/>
      <c r="L79" s="210"/>
      <c r="M79" s="210"/>
      <c r="N79" s="210"/>
      <c r="O79" s="210"/>
      <c r="P79" s="210"/>
      <c r="Q79" s="210"/>
      <c r="R79" s="210"/>
      <c r="S79" s="210"/>
      <c r="T79" s="210"/>
      <c r="U79" s="210"/>
      <c r="V79" s="210"/>
      <c r="W79" s="210"/>
      <c r="X79" s="210"/>
      <c r="Y79" s="210"/>
      <c r="Z79" s="210"/>
      <c r="AA79" s="210"/>
      <c r="AB79" s="210"/>
      <c r="AC79" s="210"/>
      <c r="AD79" s="210"/>
      <c r="AE79" s="210"/>
      <c r="AF79" s="210"/>
      <c r="AG79" s="210"/>
      <c r="AH79" s="210"/>
      <c r="AI79" s="210"/>
      <c r="AJ79" s="210"/>
      <c r="AK79" s="210"/>
      <c r="AL79" s="210"/>
      <c r="AM79" s="210"/>
      <c r="AN79" s="210"/>
      <c r="AO79" s="210"/>
      <c r="AP79" s="210"/>
      <c r="AQ79" s="210"/>
      <c r="AR79" s="210"/>
      <c r="AS79" s="210"/>
      <c r="AT79" s="210"/>
      <c r="AU79" s="210"/>
      <c r="AV79" s="210"/>
      <c r="AW79" s="210"/>
      <c r="AX79" s="210"/>
      <c r="AY79" s="210"/>
      <c r="AZ79" s="210"/>
      <c r="BA79" s="210"/>
      <c r="BB79" s="210"/>
      <c r="BC79" s="210"/>
      <c r="BD79" s="210"/>
      <c r="BE79" s="41"/>
      <c r="BF79" s="41"/>
      <c r="BG79" s="41"/>
      <c r="BH79" s="41"/>
      <c r="BI79" s="41"/>
      <c r="BJ79" s="41"/>
      <c r="BK79" s="41"/>
      <c r="BL79" s="41"/>
      <c r="BM79" s="41"/>
      <c r="BN79" s="41"/>
      <c r="BO79" s="41"/>
      <c r="BP79" s="41"/>
    </row>
    <row r="80" spans="1:68">
      <c r="A80" s="210"/>
      <c r="B80" s="210"/>
      <c r="C80" s="210"/>
      <c r="D80" s="210"/>
      <c r="E80" s="210"/>
      <c r="F80" s="210"/>
      <c r="G80" s="210"/>
      <c r="H80" s="210"/>
      <c r="I80" s="210"/>
      <c r="J80" s="210"/>
      <c r="K80" s="210"/>
      <c r="L80" s="210"/>
      <c r="M80" s="210"/>
      <c r="N80" s="210"/>
      <c r="O80" s="210"/>
      <c r="P80" s="210"/>
      <c r="Q80" s="210"/>
      <c r="R80" s="210"/>
      <c r="S80" s="210"/>
      <c r="T80" s="210"/>
      <c r="U80" s="210"/>
      <c r="V80" s="210"/>
      <c r="W80" s="210"/>
      <c r="X80" s="210"/>
      <c r="Y80" s="210"/>
      <c r="Z80" s="210"/>
      <c r="AA80" s="210"/>
      <c r="AB80" s="210"/>
      <c r="AC80" s="210"/>
      <c r="AD80" s="210"/>
      <c r="AE80" s="210"/>
      <c r="AF80" s="210"/>
      <c r="AG80" s="210"/>
      <c r="AH80" s="210"/>
      <c r="AI80" s="210"/>
      <c r="AJ80" s="210"/>
      <c r="AK80" s="210"/>
      <c r="AL80" s="210"/>
      <c r="AM80" s="210"/>
      <c r="AN80" s="210"/>
      <c r="AO80" s="210"/>
      <c r="AP80" s="210"/>
      <c r="AQ80" s="210"/>
      <c r="AR80" s="210"/>
      <c r="AS80" s="210"/>
      <c r="AT80" s="210"/>
      <c r="AU80" s="210"/>
      <c r="AV80" s="210"/>
      <c r="AW80" s="210"/>
      <c r="AX80" s="210"/>
      <c r="AY80" s="210"/>
      <c r="AZ80" s="210"/>
      <c r="BA80" s="210"/>
      <c r="BB80" s="210"/>
      <c r="BC80" s="210"/>
      <c r="BD80" s="210"/>
      <c r="BE80" s="41"/>
      <c r="BF80" s="41"/>
      <c r="BG80" s="41"/>
      <c r="BH80" s="41"/>
      <c r="BI80" s="41"/>
      <c r="BJ80" s="41"/>
      <c r="BK80" s="41"/>
      <c r="BL80" s="41"/>
      <c r="BM80" s="41"/>
      <c r="BN80" s="41"/>
      <c r="BO80" s="41"/>
      <c r="BP80" s="41"/>
    </row>
    <row r="81" spans="1:68">
      <c r="A81" s="210"/>
      <c r="B81" s="210" t="s">
        <v>6002</v>
      </c>
      <c r="C81" s="210" t="s">
        <v>6476</v>
      </c>
      <c r="D81" s="210"/>
      <c r="E81" s="210"/>
      <c r="F81" s="210" t="s">
        <v>6477</v>
      </c>
      <c r="G81" s="210"/>
      <c r="H81" s="210"/>
      <c r="I81" s="210"/>
      <c r="J81" s="210" t="s">
        <v>6478</v>
      </c>
      <c r="K81" s="210"/>
      <c r="L81" s="210"/>
      <c r="M81" s="210"/>
      <c r="N81" s="210"/>
      <c r="O81" s="210" t="s">
        <v>6479</v>
      </c>
      <c r="P81" s="210"/>
      <c r="Q81" s="210" t="s">
        <v>5992</v>
      </c>
      <c r="R81" s="210"/>
      <c r="S81" s="210" t="s">
        <v>6125</v>
      </c>
      <c r="T81" s="210"/>
      <c r="U81" s="210" t="s">
        <v>6124</v>
      </c>
      <c r="V81" s="210"/>
      <c r="W81" s="210"/>
      <c r="X81" s="210" t="s">
        <v>6480</v>
      </c>
      <c r="Y81" s="210"/>
      <c r="Z81" s="210" t="s">
        <v>6475</v>
      </c>
      <c r="AA81" s="210"/>
      <c r="AB81" s="210"/>
      <c r="AC81" s="210" t="s">
        <v>6126</v>
      </c>
      <c r="AD81" s="210"/>
      <c r="AE81" s="210"/>
      <c r="AF81" s="210"/>
      <c r="AG81" s="210"/>
      <c r="AH81" s="210"/>
      <c r="AI81" s="210"/>
      <c r="AJ81" s="210"/>
      <c r="AK81" s="210"/>
      <c r="AL81" s="210"/>
      <c r="AM81" s="210"/>
      <c r="AN81" s="210"/>
      <c r="AO81" s="210"/>
      <c r="AP81" s="210"/>
      <c r="AQ81" s="210"/>
      <c r="AR81" s="210"/>
      <c r="AS81" s="210"/>
      <c r="AT81" s="210"/>
      <c r="AU81" s="210"/>
      <c r="AV81" s="210"/>
      <c r="AW81" s="210"/>
      <c r="AX81" s="210"/>
      <c r="AY81" s="210"/>
      <c r="AZ81" s="210"/>
      <c r="BA81" s="210"/>
      <c r="BB81" s="210"/>
      <c r="BC81" s="210"/>
      <c r="BD81" s="210"/>
      <c r="BE81" s="41"/>
      <c r="BF81" s="41"/>
      <c r="BG81" s="41"/>
      <c r="BH81" s="41"/>
      <c r="BI81" s="41"/>
      <c r="BJ81" s="41"/>
      <c r="BK81" s="41"/>
      <c r="BL81" s="41"/>
      <c r="BM81" s="41"/>
      <c r="BN81" s="41"/>
      <c r="BO81" s="41"/>
      <c r="BP81" s="41"/>
    </row>
    <row r="82" spans="1:68">
      <c r="A82" s="210"/>
      <c r="B82" s="210"/>
      <c r="C82" s="210"/>
      <c r="D82" s="210"/>
      <c r="E82" s="210"/>
      <c r="F82" s="210"/>
      <c r="G82" s="210"/>
      <c r="H82" s="210"/>
      <c r="I82" s="210"/>
      <c r="J82" s="210"/>
      <c r="K82" s="210"/>
      <c r="L82" s="210"/>
      <c r="M82" s="210"/>
      <c r="N82" s="210"/>
      <c r="O82" s="210"/>
      <c r="P82" s="210"/>
      <c r="Q82" s="210"/>
      <c r="R82" s="210"/>
      <c r="S82" s="210"/>
      <c r="T82" s="210"/>
      <c r="U82" s="210"/>
      <c r="V82" s="210"/>
      <c r="W82" s="210"/>
      <c r="X82" s="210"/>
      <c r="Y82" s="210"/>
      <c r="Z82" s="210"/>
      <c r="AA82" s="210"/>
      <c r="AB82" s="210"/>
      <c r="AC82" s="210"/>
      <c r="AD82" s="210"/>
      <c r="AE82" s="210"/>
      <c r="AF82" s="210"/>
      <c r="AG82" s="210"/>
      <c r="AH82" s="210"/>
      <c r="AI82" s="210"/>
      <c r="AJ82" s="210"/>
      <c r="AK82" s="210"/>
      <c r="AL82" s="210"/>
      <c r="AM82" s="210"/>
      <c r="AN82" s="210"/>
      <c r="AO82" s="210"/>
      <c r="AP82" s="210"/>
      <c r="AQ82" s="210"/>
      <c r="AR82" s="210"/>
      <c r="AS82" s="210"/>
      <c r="AT82" s="210"/>
      <c r="AU82" s="210"/>
      <c r="AV82" s="210"/>
      <c r="AW82" s="210"/>
      <c r="AX82" s="210"/>
      <c r="AY82" s="210"/>
      <c r="AZ82" s="210"/>
      <c r="BA82" s="210"/>
      <c r="BB82" s="210"/>
      <c r="BC82" s="210"/>
      <c r="BD82" s="210"/>
      <c r="BE82" s="41"/>
      <c r="BF82" s="41"/>
      <c r="BG82" s="41"/>
      <c r="BH82" s="41"/>
      <c r="BI82" s="41"/>
      <c r="BJ82" s="41"/>
      <c r="BK82" s="41"/>
      <c r="BL82" s="41"/>
      <c r="BM82" s="41"/>
      <c r="BN82" s="41"/>
      <c r="BO82" s="41"/>
      <c r="BP82" s="41"/>
    </row>
    <row r="83" spans="1:68">
      <c r="A83" s="210"/>
      <c r="B83" s="210"/>
      <c r="C83" s="210"/>
      <c r="D83" s="210"/>
      <c r="E83" s="210"/>
      <c r="F83" s="210"/>
      <c r="G83" s="210"/>
      <c r="H83" s="210"/>
      <c r="I83" s="210"/>
      <c r="J83" s="210"/>
      <c r="K83" s="210"/>
      <c r="L83" s="210"/>
      <c r="M83" s="210"/>
      <c r="N83" s="210"/>
      <c r="O83" s="210"/>
      <c r="P83" s="210"/>
      <c r="Q83" s="210"/>
      <c r="R83" s="210"/>
      <c r="S83" s="210"/>
      <c r="T83" s="210"/>
      <c r="U83" s="210"/>
      <c r="V83" s="210"/>
      <c r="W83" s="210"/>
      <c r="X83" s="210"/>
      <c r="Y83" s="210"/>
      <c r="Z83" s="210"/>
      <c r="AA83" s="210"/>
      <c r="AB83" s="210"/>
      <c r="AC83" s="210"/>
      <c r="AD83" s="210"/>
      <c r="AE83" s="210"/>
      <c r="AF83" s="210"/>
      <c r="AG83" s="210"/>
      <c r="AH83" s="210"/>
      <c r="AI83" s="210"/>
      <c r="AJ83" s="210"/>
      <c r="AK83" s="210"/>
      <c r="AL83" s="210"/>
      <c r="AM83" s="210"/>
      <c r="AN83" s="210"/>
      <c r="AO83" s="210"/>
      <c r="AP83" s="210"/>
      <c r="AQ83" s="210"/>
      <c r="AR83" s="210"/>
      <c r="AS83" s="210"/>
      <c r="AT83" s="210"/>
      <c r="AU83" s="210"/>
      <c r="AV83" s="210"/>
      <c r="AW83" s="210"/>
      <c r="AX83" s="210"/>
      <c r="AY83" s="210"/>
      <c r="AZ83" s="210"/>
      <c r="BA83" s="210"/>
      <c r="BB83" s="210"/>
      <c r="BC83" s="210"/>
      <c r="BD83" s="210"/>
      <c r="BE83" s="41"/>
      <c r="BF83" s="41"/>
      <c r="BG83" s="41"/>
      <c r="BH83" s="41"/>
      <c r="BI83" s="41"/>
      <c r="BJ83" s="41"/>
      <c r="BK83" s="41"/>
      <c r="BL83" s="41"/>
      <c r="BM83" s="41"/>
      <c r="BN83" s="41"/>
      <c r="BO83" s="41"/>
      <c r="BP83" s="41"/>
    </row>
    <row r="84" spans="1:68">
      <c r="A84" s="210"/>
      <c r="B84" s="210" t="s">
        <v>6002</v>
      </c>
      <c r="C84" s="210" t="s">
        <v>6481</v>
      </c>
      <c r="D84" s="210"/>
      <c r="E84" s="210"/>
      <c r="F84" s="210" t="s">
        <v>6482</v>
      </c>
      <c r="G84" s="210"/>
      <c r="H84" s="210"/>
      <c r="I84" s="210"/>
      <c r="J84" s="210" t="s">
        <v>6483</v>
      </c>
      <c r="K84" s="210"/>
      <c r="L84" s="210"/>
      <c r="M84" s="210"/>
      <c r="N84" s="210"/>
      <c r="O84" s="210" t="s">
        <v>6310</v>
      </c>
      <c r="P84" s="210"/>
      <c r="Q84" s="210" t="s">
        <v>5992</v>
      </c>
      <c r="R84" s="210"/>
      <c r="S84" s="210" t="s">
        <v>5993</v>
      </c>
      <c r="T84" s="210"/>
      <c r="U84" s="210" t="s">
        <v>6484</v>
      </c>
      <c r="V84" s="210"/>
      <c r="W84" s="210"/>
      <c r="X84" s="210" t="s">
        <v>6485</v>
      </c>
      <c r="Y84" s="210"/>
      <c r="Z84" s="210" t="s">
        <v>6475</v>
      </c>
      <c r="AA84" s="210"/>
      <c r="AB84" s="210"/>
      <c r="AC84" s="210" t="s">
        <v>5994</v>
      </c>
      <c r="AD84" s="210"/>
      <c r="AE84" s="210"/>
      <c r="AF84" s="210"/>
      <c r="AG84" s="210"/>
      <c r="AH84" s="210"/>
      <c r="AI84" s="210"/>
      <c r="AJ84" s="210"/>
      <c r="AK84" s="210"/>
      <c r="AL84" s="210"/>
      <c r="AM84" s="210"/>
      <c r="AN84" s="210"/>
      <c r="AO84" s="210"/>
      <c r="AP84" s="210"/>
      <c r="AQ84" s="210"/>
      <c r="AR84" s="210"/>
      <c r="AS84" s="210"/>
      <c r="AT84" s="210"/>
      <c r="AU84" s="210"/>
      <c r="AV84" s="210"/>
      <c r="AW84" s="210"/>
      <c r="AX84" s="210"/>
      <c r="AY84" s="210"/>
      <c r="AZ84" s="210"/>
      <c r="BA84" s="210"/>
      <c r="BB84" s="210"/>
      <c r="BC84" s="210"/>
      <c r="BD84" s="210"/>
      <c r="BE84" s="41"/>
      <c r="BF84" s="41"/>
      <c r="BG84" s="41"/>
      <c r="BH84" s="41"/>
      <c r="BI84" s="41"/>
      <c r="BJ84" s="41"/>
      <c r="BK84" s="41"/>
      <c r="BL84" s="41"/>
      <c r="BM84" s="41"/>
      <c r="BN84" s="41"/>
      <c r="BO84" s="41"/>
      <c r="BP84" s="41"/>
    </row>
    <row r="85" spans="1:68">
      <c r="A85" s="210"/>
      <c r="B85" s="210"/>
      <c r="C85" s="210"/>
      <c r="D85" s="210"/>
      <c r="E85" s="210"/>
      <c r="F85" s="210"/>
      <c r="G85" s="210"/>
      <c r="H85" s="210"/>
      <c r="I85" s="210"/>
      <c r="J85" s="210"/>
      <c r="K85" s="210"/>
      <c r="L85" s="210"/>
      <c r="M85" s="210"/>
      <c r="N85" s="210"/>
      <c r="O85" s="210"/>
      <c r="P85" s="210"/>
      <c r="Q85" s="210"/>
      <c r="R85" s="210"/>
      <c r="S85" s="210"/>
      <c r="T85" s="210"/>
      <c r="U85" s="210"/>
      <c r="V85" s="210"/>
      <c r="W85" s="210"/>
      <c r="X85" s="210"/>
      <c r="Y85" s="210"/>
      <c r="Z85" s="210"/>
      <c r="AA85" s="210"/>
      <c r="AB85" s="210"/>
      <c r="AC85" s="210"/>
      <c r="AD85" s="210"/>
      <c r="AE85" s="210"/>
      <c r="AF85" s="210"/>
      <c r="AG85" s="210"/>
      <c r="AH85" s="210"/>
      <c r="AI85" s="210"/>
      <c r="AJ85" s="210"/>
      <c r="AK85" s="210"/>
      <c r="AL85" s="210"/>
      <c r="AM85" s="210"/>
      <c r="AN85" s="210"/>
      <c r="AO85" s="210"/>
      <c r="AP85" s="210"/>
      <c r="AQ85" s="210"/>
      <c r="AR85" s="210"/>
      <c r="AS85" s="210"/>
      <c r="AT85" s="210"/>
      <c r="AU85" s="210"/>
      <c r="AV85" s="210"/>
      <c r="AW85" s="210"/>
      <c r="AX85" s="210"/>
      <c r="AY85" s="210"/>
      <c r="AZ85" s="210"/>
      <c r="BA85" s="210"/>
      <c r="BB85" s="210"/>
      <c r="BC85" s="210"/>
      <c r="BD85" s="210"/>
      <c r="BE85" s="41"/>
      <c r="BF85" s="41"/>
      <c r="BG85" s="41"/>
      <c r="BH85" s="41"/>
      <c r="BI85" s="41"/>
      <c r="BJ85" s="41"/>
      <c r="BK85" s="41"/>
      <c r="BL85" s="41"/>
      <c r="BM85" s="41"/>
      <c r="BN85" s="41"/>
      <c r="BO85" s="41"/>
      <c r="BP85" s="41"/>
    </row>
    <row r="86" spans="1:68">
      <c r="A86" s="210"/>
      <c r="B86" s="210"/>
      <c r="C86" s="210"/>
      <c r="D86" s="210"/>
      <c r="E86" s="210"/>
      <c r="F86" s="210"/>
      <c r="G86" s="210"/>
      <c r="H86" s="210"/>
      <c r="I86" s="210"/>
      <c r="J86" s="210"/>
      <c r="K86" s="210"/>
      <c r="L86" s="210"/>
      <c r="M86" s="210"/>
      <c r="N86" s="210"/>
      <c r="O86" s="210"/>
      <c r="P86" s="210"/>
      <c r="Q86" s="210"/>
      <c r="R86" s="210"/>
      <c r="S86" s="210"/>
      <c r="T86" s="210"/>
      <c r="U86" s="210"/>
      <c r="V86" s="210"/>
      <c r="W86" s="210"/>
      <c r="X86" s="210"/>
      <c r="Y86" s="210"/>
      <c r="Z86" s="210"/>
      <c r="AA86" s="210"/>
      <c r="AB86" s="210"/>
      <c r="AC86" s="210"/>
      <c r="AD86" s="210"/>
      <c r="AE86" s="210"/>
      <c r="AF86" s="210"/>
      <c r="AG86" s="210"/>
      <c r="AH86" s="210"/>
      <c r="AI86" s="210"/>
      <c r="AJ86" s="210"/>
      <c r="AK86" s="210"/>
      <c r="AL86" s="210"/>
      <c r="AM86" s="210"/>
      <c r="AN86" s="210"/>
      <c r="AO86" s="210"/>
      <c r="AP86" s="210"/>
      <c r="AQ86" s="210"/>
      <c r="AR86" s="210"/>
      <c r="AS86" s="210"/>
      <c r="AT86" s="210"/>
      <c r="AU86" s="210"/>
      <c r="AV86" s="210"/>
      <c r="AW86" s="210"/>
      <c r="AX86" s="210"/>
      <c r="AY86" s="210"/>
      <c r="AZ86" s="210"/>
      <c r="BA86" s="210"/>
      <c r="BB86" s="210"/>
      <c r="BC86" s="210"/>
      <c r="BD86" s="210"/>
      <c r="BE86" s="41"/>
      <c r="BF86" s="41"/>
      <c r="BG86" s="41"/>
      <c r="BH86" s="41"/>
      <c r="BI86" s="41"/>
      <c r="BJ86" s="41"/>
      <c r="BK86" s="41"/>
      <c r="BL86" s="41"/>
      <c r="BM86" s="41"/>
      <c r="BN86" s="41"/>
      <c r="BO86" s="41"/>
      <c r="BP86" s="41"/>
    </row>
    <row r="87" spans="1:68">
      <c r="A87" s="210"/>
      <c r="B87" s="210" t="s">
        <v>6002</v>
      </c>
      <c r="C87" s="210" t="s">
        <v>6486</v>
      </c>
      <c r="D87" s="210"/>
      <c r="E87" s="210"/>
      <c r="F87" s="210" t="s">
        <v>6487</v>
      </c>
      <c r="G87" s="210"/>
      <c r="H87" s="210"/>
      <c r="I87" s="210"/>
      <c r="J87" s="210" t="s">
        <v>6488</v>
      </c>
      <c r="K87" s="210"/>
      <c r="L87" s="210"/>
      <c r="M87" s="210"/>
      <c r="N87" s="210"/>
      <c r="O87" s="210" t="s">
        <v>6489</v>
      </c>
      <c r="P87" s="210"/>
      <c r="Q87" s="210" t="s">
        <v>5992</v>
      </c>
      <c r="R87" s="210"/>
      <c r="S87" s="210" t="s">
        <v>6342</v>
      </c>
      <c r="T87" s="210"/>
      <c r="U87" s="210" t="s">
        <v>6341</v>
      </c>
      <c r="V87" s="210"/>
      <c r="W87" s="210"/>
      <c r="X87" s="210" t="s">
        <v>6474</v>
      </c>
      <c r="Y87" s="210"/>
      <c r="Z87" s="210" t="s">
        <v>6475</v>
      </c>
      <c r="AA87" s="210"/>
      <c r="AB87" s="210"/>
      <c r="AC87" s="210" t="s">
        <v>6343</v>
      </c>
      <c r="AD87" s="210"/>
      <c r="AE87" s="210"/>
      <c r="AF87" s="210"/>
      <c r="AG87" s="210"/>
      <c r="AH87" s="210"/>
      <c r="AI87" s="210"/>
      <c r="AJ87" s="210"/>
      <c r="AK87" s="210"/>
      <c r="AL87" s="210"/>
      <c r="AM87" s="210"/>
      <c r="AN87" s="210"/>
      <c r="AO87" s="210"/>
      <c r="AP87" s="210"/>
      <c r="AQ87" s="210"/>
      <c r="AR87" s="210"/>
      <c r="AS87" s="210"/>
      <c r="AT87" s="210"/>
      <c r="AU87" s="210"/>
      <c r="AV87" s="210"/>
      <c r="AW87" s="210"/>
      <c r="AX87" s="210"/>
      <c r="AY87" s="210"/>
      <c r="AZ87" s="210"/>
      <c r="BA87" s="210"/>
      <c r="BB87" s="210"/>
      <c r="BC87" s="210"/>
      <c r="BD87" s="210"/>
      <c r="BE87" s="41"/>
      <c r="BF87" s="41"/>
      <c r="BG87" s="41"/>
      <c r="BH87" s="41"/>
      <c r="BI87" s="41"/>
      <c r="BJ87" s="41"/>
      <c r="BK87" s="41"/>
      <c r="BL87" s="41"/>
      <c r="BM87" s="41"/>
      <c r="BN87" s="41"/>
      <c r="BO87" s="41"/>
      <c r="BP87" s="41"/>
    </row>
    <row r="88" spans="1:68">
      <c r="A88" s="210"/>
      <c r="B88" s="210"/>
      <c r="C88" s="210"/>
      <c r="D88" s="210"/>
      <c r="E88" s="210"/>
      <c r="F88" s="210"/>
      <c r="G88" s="210"/>
      <c r="H88" s="210"/>
      <c r="I88" s="210"/>
      <c r="J88" s="210"/>
      <c r="K88" s="210"/>
      <c r="L88" s="210"/>
      <c r="M88" s="210"/>
      <c r="N88" s="210"/>
      <c r="O88" s="210"/>
      <c r="P88" s="210"/>
      <c r="Q88" s="210"/>
      <c r="R88" s="210"/>
      <c r="S88" s="210"/>
      <c r="T88" s="210"/>
      <c r="U88" s="210"/>
      <c r="V88" s="210"/>
      <c r="W88" s="210"/>
      <c r="X88" s="210"/>
      <c r="Y88" s="210"/>
      <c r="Z88" s="210"/>
      <c r="AA88" s="210"/>
      <c r="AB88" s="210"/>
      <c r="AC88" s="210"/>
      <c r="AD88" s="210"/>
      <c r="AE88" s="210"/>
      <c r="AF88" s="210"/>
      <c r="AG88" s="210"/>
      <c r="AH88" s="210"/>
      <c r="AI88" s="210"/>
      <c r="AJ88" s="210"/>
      <c r="AK88" s="210"/>
      <c r="AL88" s="210"/>
      <c r="AM88" s="210"/>
      <c r="AN88" s="210"/>
      <c r="AO88" s="210"/>
      <c r="AP88" s="210"/>
      <c r="AQ88" s="210"/>
      <c r="AR88" s="210"/>
      <c r="AS88" s="210"/>
      <c r="AT88" s="210"/>
      <c r="AU88" s="210"/>
      <c r="AV88" s="210"/>
      <c r="AW88" s="210"/>
      <c r="AX88" s="210"/>
      <c r="AY88" s="210"/>
      <c r="AZ88" s="210"/>
      <c r="BA88" s="210"/>
      <c r="BB88" s="210"/>
      <c r="BC88" s="210"/>
      <c r="BD88" s="210"/>
      <c r="BE88" s="41"/>
      <c r="BF88" s="41"/>
      <c r="BG88" s="41"/>
      <c r="BH88" s="41"/>
      <c r="BI88" s="41"/>
      <c r="BJ88" s="41"/>
      <c r="BK88" s="41"/>
      <c r="BL88" s="41"/>
      <c r="BM88" s="41"/>
      <c r="BN88" s="41"/>
      <c r="BO88" s="41"/>
      <c r="BP88" s="41"/>
    </row>
    <row r="89" spans="1:68">
      <c r="A89" s="210"/>
      <c r="B89" s="210"/>
      <c r="C89" s="210"/>
      <c r="D89" s="210"/>
      <c r="E89" s="210"/>
      <c r="F89" s="210"/>
      <c r="G89" s="210"/>
      <c r="H89" s="210"/>
      <c r="I89" s="210"/>
      <c r="J89" s="210"/>
      <c r="K89" s="210"/>
      <c r="L89" s="210"/>
      <c r="M89" s="210"/>
      <c r="N89" s="210"/>
      <c r="O89" s="210"/>
      <c r="P89" s="210"/>
      <c r="Q89" s="210"/>
      <c r="R89" s="210"/>
      <c r="S89" s="210"/>
      <c r="T89" s="210"/>
      <c r="U89" s="210"/>
      <c r="V89" s="210"/>
      <c r="W89" s="210"/>
      <c r="X89" s="210"/>
      <c r="Y89" s="210"/>
      <c r="Z89" s="210"/>
      <c r="AA89" s="210"/>
      <c r="AB89" s="210"/>
      <c r="AC89" s="210"/>
      <c r="AD89" s="210"/>
      <c r="AE89" s="210"/>
      <c r="AF89" s="210"/>
      <c r="AG89" s="210"/>
      <c r="AH89" s="210"/>
      <c r="AI89" s="210"/>
      <c r="AJ89" s="210"/>
      <c r="AK89" s="210"/>
      <c r="AL89" s="210"/>
      <c r="AM89" s="210"/>
      <c r="AN89" s="210"/>
      <c r="AO89" s="210"/>
      <c r="AP89" s="210"/>
      <c r="AQ89" s="210"/>
      <c r="AR89" s="210"/>
      <c r="AS89" s="210"/>
      <c r="AT89" s="210"/>
      <c r="AU89" s="210"/>
      <c r="AV89" s="210"/>
      <c r="AW89" s="210"/>
      <c r="AX89" s="210"/>
      <c r="AY89" s="210"/>
      <c r="AZ89" s="210"/>
      <c r="BA89" s="210"/>
      <c r="BB89" s="210"/>
      <c r="BC89" s="210"/>
      <c r="BD89" s="210"/>
      <c r="BE89" s="41"/>
      <c r="BF89" s="41"/>
      <c r="BG89" s="41"/>
      <c r="BH89" s="41"/>
      <c r="BI89" s="41"/>
      <c r="BJ89" s="41"/>
      <c r="BK89" s="41"/>
      <c r="BL89" s="41"/>
      <c r="BM89" s="41"/>
      <c r="BN89" s="41"/>
      <c r="BO89" s="41"/>
      <c r="BP89" s="41"/>
    </row>
    <row r="90" spans="1:68">
      <c r="A90" s="210"/>
      <c r="B90" s="210" t="s">
        <v>6002</v>
      </c>
      <c r="C90" s="210" t="s">
        <v>6490</v>
      </c>
      <c r="D90" s="210"/>
      <c r="E90" s="210"/>
      <c r="F90" s="210" t="s">
        <v>6491</v>
      </c>
      <c r="G90" s="210"/>
      <c r="H90" s="210"/>
      <c r="I90" s="210"/>
      <c r="J90" s="210" t="s">
        <v>6492</v>
      </c>
      <c r="K90" s="210"/>
      <c r="L90" s="210"/>
      <c r="M90" s="210"/>
      <c r="N90" s="210"/>
      <c r="O90" s="210" t="s">
        <v>6493</v>
      </c>
      <c r="P90" s="210"/>
      <c r="Q90" s="210" t="s">
        <v>6002</v>
      </c>
      <c r="R90" s="210"/>
      <c r="S90" s="210" t="s">
        <v>6494</v>
      </c>
      <c r="T90" s="210"/>
      <c r="U90" s="210" t="s">
        <v>6495</v>
      </c>
      <c r="V90" s="210"/>
      <c r="W90" s="210"/>
      <c r="X90" s="210" t="s">
        <v>4923</v>
      </c>
      <c r="Y90" s="210"/>
      <c r="Z90" s="210"/>
      <c r="AA90" s="210"/>
      <c r="AB90" s="210"/>
      <c r="AC90" s="210"/>
      <c r="AD90" s="210"/>
      <c r="AE90" s="210"/>
      <c r="AF90" s="210"/>
      <c r="AG90" s="210"/>
      <c r="AH90" s="210"/>
      <c r="AI90" s="210"/>
      <c r="AJ90" s="210"/>
      <c r="AK90" s="210"/>
      <c r="AL90" s="210"/>
      <c r="AM90" s="210"/>
      <c r="AN90" s="210"/>
      <c r="AO90" s="210"/>
      <c r="AP90" s="210"/>
      <c r="AQ90" s="210"/>
      <c r="AR90" s="210"/>
      <c r="AS90" s="210"/>
      <c r="AT90" s="210"/>
      <c r="AU90" s="210"/>
      <c r="AV90" s="210"/>
      <c r="AW90" s="210"/>
      <c r="AX90" s="210"/>
      <c r="AY90" s="210"/>
      <c r="AZ90" s="210"/>
      <c r="BA90" s="210"/>
      <c r="BB90" s="210"/>
      <c r="BC90" s="210"/>
      <c r="BD90" s="210"/>
      <c r="BE90" s="41"/>
      <c r="BF90" s="41"/>
      <c r="BG90" s="41"/>
      <c r="BH90" s="41"/>
      <c r="BI90" s="41"/>
      <c r="BJ90" s="41"/>
      <c r="BK90" s="41"/>
      <c r="BL90" s="41"/>
      <c r="BM90" s="41"/>
      <c r="BN90" s="41"/>
      <c r="BO90" s="41"/>
      <c r="BP90" s="41"/>
    </row>
    <row r="91" spans="1:68">
      <c r="A91" s="210"/>
      <c r="B91" s="210"/>
      <c r="C91" s="210"/>
      <c r="D91" s="210"/>
      <c r="E91" s="210"/>
      <c r="F91" s="210"/>
      <c r="G91" s="210"/>
      <c r="H91" s="210"/>
      <c r="I91" s="210"/>
      <c r="J91" s="210"/>
      <c r="K91" s="210"/>
      <c r="L91" s="210"/>
      <c r="M91" s="210"/>
      <c r="N91" s="210"/>
      <c r="O91" s="210"/>
      <c r="P91" s="210"/>
      <c r="Q91" s="210"/>
      <c r="R91" s="210"/>
      <c r="S91" s="210"/>
      <c r="T91" s="210"/>
      <c r="U91" s="210"/>
      <c r="V91" s="210"/>
      <c r="W91" s="210"/>
      <c r="X91" s="210"/>
      <c r="Y91" s="210"/>
      <c r="Z91" s="210"/>
      <c r="AA91" s="210"/>
      <c r="AB91" s="210"/>
      <c r="AC91" s="210"/>
      <c r="AD91" s="210"/>
      <c r="AE91" s="210"/>
      <c r="AF91" s="210"/>
      <c r="AG91" s="210"/>
      <c r="AH91" s="210"/>
      <c r="AI91" s="210"/>
      <c r="AJ91" s="210"/>
      <c r="AK91" s="210"/>
      <c r="AL91" s="210"/>
      <c r="AM91" s="210"/>
      <c r="AN91" s="210"/>
      <c r="AO91" s="210"/>
      <c r="AP91" s="210"/>
      <c r="AQ91" s="210"/>
      <c r="AR91" s="210"/>
      <c r="AS91" s="210"/>
      <c r="AT91" s="210"/>
      <c r="AU91" s="210"/>
      <c r="AV91" s="210"/>
      <c r="AW91" s="210"/>
      <c r="AX91" s="210"/>
      <c r="AY91" s="210"/>
      <c r="AZ91" s="210"/>
      <c r="BA91" s="210"/>
      <c r="BB91" s="210"/>
      <c r="BC91" s="210"/>
      <c r="BD91" s="210"/>
      <c r="BE91" s="41"/>
      <c r="BF91" s="41"/>
      <c r="BG91" s="41"/>
      <c r="BH91" s="41"/>
      <c r="BI91" s="41"/>
      <c r="BJ91" s="41"/>
      <c r="BK91" s="41"/>
      <c r="BL91" s="41"/>
      <c r="BM91" s="41"/>
      <c r="BN91" s="41"/>
      <c r="BO91" s="41"/>
      <c r="BP91" s="41"/>
    </row>
    <row r="92" spans="1:68">
      <c r="A92" s="210"/>
      <c r="B92" s="210"/>
      <c r="C92" s="210"/>
      <c r="D92" s="210"/>
      <c r="E92" s="210"/>
      <c r="F92" s="210"/>
      <c r="G92" s="210"/>
      <c r="H92" s="210"/>
      <c r="I92" s="210"/>
      <c r="J92" s="210"/>
      <c r="K92" s="210"/>
      <c r="L92" s="210"/>
      <c r="M92" s="210"/>
      <c r="N92" s="210"/>
      <c r="O92" s="210"/>
      <c r="P92" s="210"/>
      <c r="Q92" s="210"/>
      <c r="R92" s="210"/>
      <c r="S92" s="210"/>
      <c r="T92" s="210"/>
      <c r="U92" s="210"/>
      <c r="V92" s="210"/>
      <c r="W92" s="210"/>
      <c r="X92" s="210"/>
      <c r="Y92" s="210"/>
      <c r="Z92" s="210"/>
      <c r="AA92" s="210"/>
      <c r="AB92" s="210"/>
      <c r="AC92" s="210"/>
      <c r="AD92" s="210"/>
      <c r="AE92" s="210"/>
      <c r="AF92" s="210"/>
      <c r="AG92" s="210"/>
      <c r="AH92" s="210"/>
      <c r="AI92" s="210"/>
      <c r="AJ92" s="210"/>
      <c r="AK92" s="210"/>
      <c r="AL92" s="210"/>
      <c r="AM92" s="210"/>
      <c r="AN92" s="210"/>
      <c r="AO92" s="210"/>
      <c r="AP92" s="210"/>
      <c r="AQ92" s="210"/>
      <c r="AR92" s="210"/>
      <c r="AS92" s="210"/>
      <c r="AT92" s="210"/>
      <c r="AU92" s="210"/>
      <c r="AV92" s="210"/>
      <c r="AW92" s="210"/>
      <c r="AX92" s="210"/>
      <c r="AY92" s="210"/>
      <c r="AZ92" s="210"/>
      <c r="BA92" s="210"/>
      <c r="BB92" s="210"/>
      <c r="BC92" s="210"/>
      <c r="BD92" s="210"/>
      <c r="BE92" s="41"/>
      <c r="BF92" s="41"/>
      <c r="BG92" s="41"/>
      <c r="BH92" s="41"/>
      <c r="BI92" s="41"/>
      <c r="BJ92" s="41"/>
      <c r="BK92" s="41"/>
      <c r="BL92" s="41"/>
      <c r="BM92" s="41"/>
      <c r="BN92" s="41"/>
      <c r="BO92" s="41"/>
      <c r="BP92" s="41"/>
    </row>
    <row r="93" spans="1:68">
      <c r="A93" s="210"/>
      <c r="B93" s="210"/>
      <c r="C93" s="210"/>
      <c r="D93" s="210"/>
      <c r="E93" s="210"/>
      <c r="F93" s="210"/>
      <c r="G93" s="210"/>
      <c r="H93" s="210"/>
      <c r="I93" s="210"/>
      <c r="J93" s="210"/>
      <c r="K93" s="210"/>
      <c r="L93" s="210"/>
      <c r="M93" s="210"/>
      <c r="N93" s="210"/>
      <c r="O93" s="210"/>
      <c r="P93" s="210"/>
      <c r="Q93" s="210"/>
      <c r="R93" s="210"/>
      <c r="S93" s="210"/>
      <c r="T93" s="210"/>
      <c r="U93" s="210"/>
      <c r="V93" s="210"/>
      <c r="W93" s="210"/>
      <c r="X93" s="210"/>
      <c r="Y93" s="210"/>
      <c r="Z93" s="210"/>
      <c r="AA93" s="210"/>
      <c r="AB93" s="210"/>
      <c r="AC93" s="210"/>
      <c r="AD93" s="210"/>
      <c r="AE93" s="210"/>
      <c r="AF93" s="210"/>
      <c r="AG93" s="210"/>
      <c r="AH93" s="210"/>
      <c r="AI93" s="210"/>
      <c r="AJ93" s="210"/>
      <c r="AK93" s="210"/>
      <c r="AL93" s="210"/>
      <c r="AM93" s="210"/>
      <c r="AN93" s="210"/>
      <c r="AO93" s="210"/>
      <c r="AP93" s="210"/>
      <c r="AQ93" s="210"/>
      <c r="AR93" s="210"/>
      <c r="AS93" s="210"/>
      <c r="AT93" s="210"/>
      <c r="AU93" s="210"/>
      <c r="AV93" s="210"/>
      <c r="AW93" s="210"/>
      <c r="AX93" s="210"/>
      <c r="AY93" s="210"/>
      <c r="AZ93" s="210"/>
      <c r="BA93" s="210"/>
      <c r="BB93" s="210"/>
      <c r="BC93" s="210"/>
      <c r="BD93" s="210"/>
      <c r="BE93" s="41"/>
      <c r="BF93" s="41"/>
      <c r="BG93" s="41"/>
      <c r="BH93" s="41"/>
      <c r="BI93" s="41"/>
      <c r="BJ93" s="41"/>
      <c r="BK93" s="41"/>
      <c r="BL93" s="41"/>
      <c r="BM93" s="41"/>
      <c r="BN93" s="41"/>
      <c r="BO93" s="41"/>
      <c r="BP93" s="41"/>
    </row>
    <row r="94" spans="1:68">
      <c r="A94" s="210"/>
      <c r="B94" s="210"/>
      <c r="C94" s="210"/>
      <c r="D94" s="210"/>
      <c r="E94" s="210"/>
      <c r="F94" s="210"/>
      <c r="G94" s="210"/>
      <c r="H94" s="210"/>
      <c r="I94" s="210"/>
      <c r="J94" s="210"/>
      <c r="K94" s="210"/>
      <c r="L94" s="210"/>
      <c r="M94" s="210"/>
      <c r="N94" s="210"/>
      <c r="O94" s="210"/>
      <c r="P94" s="210"/>
      <c r="Q94" s="210"/>
      <c r="R94" s="210"/>
      <c r="S94" s="210"/>
      <c r="T94" s="210"/>
      <c r="U94" s="210"/>
      <c r="V94" s="210"/>
      <c r="W94" s="210"/>
      <c r="X94" s="210"/>
      <c r="Y94" s="210"/>
      <c r="Z94" s="210"/>
      <c r="AA94" s="210"/>
      <c r="AB94" s="210"/>
      <c r="AC94" s="210"/>
      <c r="AD94" s="210"/>
      <c r="AE94" s="210"/>
      <c r="AF94" s="210"/>
      <c r="AG94" s="210"/>
      <c r="AH94" s="210"/>
      <c r="AI94" s="210"/>
      <c r="AJ94" s="210"/>
      <c r="AK94" s="210"/>
      <c r="AL94" s="210"/>
      <c r="AM94" s="210"/>
      <c r="AN94" s="210"/>
      <c r="AO94" s="210"/>
      <c r="AP94" s="210"/>
      <c r="AQ94" s="210"/>
      <c r="AR94" s="210"/>
      <c r="AS94" s="210"/>
      <c r="AT94" s="210"/>
      <c r="AU94" s="210"/>
      <c r="AV94" s="210"/>
      <c r="AW94" s="210"/>
      <c r="AX94" s="210"/>
      <c r="AY94" s="210"/>
      <c r="AZ94" s="210"/>
      <c r="BA94" s="210"/>
      <c r="BB94" s="210"/>
      <c r="BC94" s="210"/>
      <c r="BD94" s="210"/>
      <c r="BE94" s="41"/>
      <c r="BF94" s="41"/>
      <c r="BG94" s="41"/>
      <c r="BH94" s="41"/>
      <c r="BI94" s="41"/>
      <c r="BJ94" s="41"/>
      <c r="BK94" s="41"/>
      <c r="BL94" s="41"/>
      <c r="BM94" s="41"/>
      <c r="BN94" s="41"/>
      <c r="BO94" s="41"/>
      <c r="BP94" s="41"/>
    </row>
    <row r="95" spans="1:68">
      <c r="A95" s="210"/>
      <c r="B95" s="210"/>
      <c r="C95" s="210"/>
      <c r="D95" s="210"/>
      <c r="E95" s="210"/>
      <c r="F95" s="210"/>
      <c r="G95" s="210"/>
      <c r="H95" s="210"/>
      <c r="I95" s="210"/>
      <c r="J95" s="210"/>
      <c r="K95" s="210"/>
      <c r="L95" s="210"/>
      <c r="M95" s="210"/>
      <c r="N95" s="210"/>
      <c r="O95" s="210"/>
      <c r="P95" s="210"/>
      <c r="Q95" s="210"/>
      <c r="R95" s="210"/>
      <c r="S95" s="210"/>
      <c r="T95" s="210"/>
      <c r="U95" s="210" t="s">
        <v>6496</v>
      </c>
      <c r="V95" s="210"/>
      <c r="W95" s="210"/>
      <c r="X95" s="210"/>
      <c r="Y95" s="210"/>
      <c r="Z95" s="210"/>
      <c r="AA95" s="210"/>
      <c r="AB95" s="210"/>
      <c r="AC95" s="210"/>
      <c r="AD95" s="210"/>
      <c r="AE95" s="210"/>
      <c r="AF95" s="210"/>
      <c r="AG95" s="210"/>
      <c r="AH95" s="210"/>
      <c r="AI95" s="210"/>
      <c r="AJ95" s="210"/>
      <c r="AK95" s="210"/>
      <c r="AL95" s="210"/>
      <c r="AM95" s="210"/>
      <c r="AN95" s="210"/>
      <c r="AO95" s="210"/>
      <c r="AP95" s="210"/>
      <c r="AQ95" s="210"/>
      <c r="AR95" s="210"/>
      <c r="AS95" s="210"/>
      <c r="AT95" s="210"/>
      <c r="AU95" s="210"/>
      <c r="AV95" s="210"/>
      <c r="AW95" s="210"/>
      <c r="AX95" s="210"/>
      <c r="AY95" s="210"/>
      <c r="AZ95" s="210"/>
      <c r="BA95" s="210"/>
      <c r="BB95" s="210"/>
      <c r="BC95" s="210"/>
      <c r="BD95" s="210"/>
      <c r="BE95" s="41"/>
      <c r="BF95" s="41"/>
      <c r="BG95" s="41"/>
      <c r="BH95" s="41"/>
      <c r="BI95" s="41"/>
      <c r="BJ95" s="41"/>
      <c r="BK95" s="41"/>
      <c r="BL95" s="41"/>
      <c r="BM95" s="41"/>
      <c r="BN95" s="41"/>
      <c r="BO95" s="41"/>
      <c r="BP95" s="41"/>
    </row>
    <row r="96" spans="1:68">
      <c r="A96" s="210"/>
      <c r="B96" s="210"/>
      <c r="C96" s="210"/>
      <c r="D96" s="210"/>
      <c r="E96" s="210"/>
      <c r="F96" s="210"/>
      <c r="G96" s="210"/>
      <c r="H96" s="210"/>
      <c r="I96" s="210"/>
      <c r="J96" s="210"/>
      <c r="K96" s="210"/>
      <c r="L96" s="210"/>
      <c r="M96" s="210"/>
      <c r="N96" s="210"/>
      <c r="O96" s="210"/>
      <c r="P96" s="210"/>
      <c r="Q96" s="210" t="s">
        <v>6497</v>
      </c>
      <c r="R96" s="210"/>
      <c r="S96" s="210"/>
      <c r="T96" s="210"/>
      <c r="U96" s="210"/>
      <c r="V96" s="210"/>
      <c r="W96" s="210"/>
      <c r="X96" s="210"/>
      <c r="Y96" s="210"/>
      <c r="Z96" s="210"/>
      <c r="AA96" s="210"/>
      <c r="AB96" s="210"/>
      <c r="AC96" s="210"/>
      <c r="AD96" s="210"/>
      <c r="AE96" s="210"/>
      <c r="AF96" s="210"/>
      <c r="AG96" s="210"/>
      <c r="AH96" s="210"/>
      <c r="AI96" s="210"/>
      <c r="AJ96" s="210"/>
      <c r="AK96" s="210"/>
      <c r="AL96" s="210"/>
      <c r="AM96" s="210"/>
      <c r="AN96" s="210"/>
      <c r="AO96" s="210"/>
      <c r="AP96" s="210"/>
      <c r="AQ96" s="210"/>
      <c r="AR96" s="210"/>
      <c r="AS96" s="210"/>
      <c r="AT96" s="210"/>
      <c r="AU96" s="210"/>
      <c r="AV96" s="210"/>
      <c r="AW96" s="210"/>
      <c r="AX96" s="210"/>
      <c r="AY96" s="210"/>
      <c r="AZ96" s="210"/>
      <c r="BA96" s="210"/>
      <c r="BB96" s="210"/>
      <c r="BC96" s="210"/>
      <c r="BD96" s="210"/>
      <c r="BE96" s="41"/>
      <c r="BF96" s="41"/>
      <c r="BG96" s="41"/>
      <c r="BH96" s="41"/>
      <c r="BI96" s="41"/>
      <c r="BJ96" s="41"/>
      <c r="BK96" s="41"/>
      <c r="BL96" s="41"/>
      <c r="BM96" s="41"/>
      <c r="BN96" s="41"/>
      <c r="BO96" s="41"/>
      <c r="BP96" s="41"/>
    </row>
    <row r="97" spans="1:68">
      <c r="A97" s="210"/>
      <c r="B97" s="210"/>
      <c r="C97" s="210"/>
      <c r="D97" s="210"/>
      <c r="E97" s="210"/>
      <c r="F97" s="210"/>
      <c r="G97" s="210"/>
      <c r="H97" s="210"/>
      <c r="I97" s="210"/>
      <c r="J97" s="210"/>
      <c r="K97" s="210"/>
      <c r="L97" s="210"/>
      <c r="M97" s="210"/>
      <c r="N97" s="210"/>
      <c r="O97" s="210"/>
      <c r="P97" s="210"/>
      <c r="Q97" s="210"/>
      <c r="R97" s="210"/>
      <c r="S97" s="210"/>
      <c r="T97" s="210"/>
      <c r="U97" s="210"/>
      <c r="V97" s="210"/>
      <c r="W97" s="210"/>
      <c r="X97" s="210"/>
      <c r="Y97" s="210"/>
      <c r="Z97" s="210"/>
      <c r="AA97" s="210"/>
      <c r="AB97" s="210"/>
      <c r="AC97" s="210"/>
      <c r="AD97" s="210"/>
      <c r="AE97" s="210"/>
      <c r="AF97" s="210"/>
      <c r="AG97" s="210"/>
      <c r="AH97" s="210"/>
      <c r="AI97" s="210"/>
      <c r="AJ97" s="210"/>
      <c r="AK97" s="210"/>
      <c r="AL97" s="210"/>
      <c r="AM97" s="210"/>
      <c r="AN97" s="210"/>
      <c r="AO97" s="210"/>
      <c r="AP97" s="210"/>
      <c r="AQ97" s="210"/>
      <c r="AR97" s="210"/>
      <c r="AS97" s="210"/>
      <c r="AT97" s="210"/>
      <c r="AU97" s="210"/>
      <c r="AV97" s="210"/>
      <c r="AW97" s="210"/>
      <c r="AX97" s="210"/>
      <c r="AY97" s="210"/>
      <c r="AZ97" s="210"/>
      <c r="BA97" s="210"/>
      <c r="BB97" s="210"/>
      <c r="BC97" s="210"/>
      <c r="BD97" s="210"/>
      <c r="BE97" s="41"/>
      <c r="BF97" s="41"/>
      <c r="BG97" s="41"/>
      <c r="BH97" s="41"/>
      <c r="BI97" s="41"/>
      <c r="BJ97" s="41"/>
      <c r="BK97" s="41"/>
      <c r="BL97" s="41"/>
      <c r="BM97" s="41"/>
      <c r="BN97" s="41"/>
      <c r="BO97" s="41"/>
      <c r="BP97" s="41"/>
    </row>
    <row r="98" spans="1:68">
      <c r="A98" s="210"/>
      <c r="B98" s="210"/>
      <c r="C98" s="210"/>
      <c r="D98" s="210"/>
      <c r="E98" s="210"/>
      <c r="F98" s="210"/>
      <c r="G98" s="210"/>
      <c r="H98" s="210"/>
      <c r="I98" s="210"/>
      <c r="J98" s="210"/>
      <c r="K98" s="210"/>
      <c r="L98" s="210"/>
      <c r="M98" s="210"/>
      <c r="N98" s="210"/>
      <c r="O98" s="210"/>
      <c r="P98" s="210"/>
      <c r="Q98" s="210" t="s">
        <v>6498</v>
      </c>
      <c r="R98" s="210"/>
      <c r="S98" s="210"/>
      <c r="T98" s="210"/>
      <c r="U98" s="210" t="s">
        <v>6499</v>
      </c>
      <c r="V98" s="210"/>
      <c r="W98" s="210"/>
      <c r="X98" s="210"/>
      <c r="Y98" s="210"/>
      <c r="Z98" s="210"/>
      <c r="AA98" s="210"/>
      <c r="AB98" s="210"/>
      <c r="AC98" s="210"/>
      <c r="AD98" s="210"/>
      <c r="AE98" s="210"/>
      <c r="AF98" s="210"/>
      <c r="AG98" s="210"/>
      <c r="AH98" s="210"/>
      <c r="AI98" s="210"/>
      <c r="AJ98" s="210"/>
      <c r="AK98" s="210"/>
      <c r="AL98" s="210"/>
      <c r="AM98" s="210"/>
      <c r="AN98" s="210"/>
      <c r="AO98" s="210"/>
      <c r="AP98" s="210"/>
      <c r="AQ98" s="210"/>
      <c r="AR98" s="210"/>
      <c r="AS98" s="210"/>
      <c r="AT98" s="210"/>
      <c r="AU98" s="210"/>
      <c r="AV98" s="210"/>
      <c r="AW98" s="210"/>
      <c r="AX98" s="210"/>
      <c r="AY98" s="210"/>
      <c r="AZ98" s="210"/>
      <c r="BA98" s="210"/>
      <c r="BB98" s="210"/>
      <c r="BC98" s="210"/>
      <c r="BD98" s="210"/>
      <c r="BE98" s="41"/>
      <c r="BF98" s="41"/>
      <c r="BG98" s="41"/>
      <c r="BH98" s="41"/>
      <c r="BI98" s="41"/>
      <c r="BJ98" s="41"/>
      <c r="BK98" s="41"/>
      <c r="BL98" s="41"/>
      <c r="BM98" s="41"/>
      <c r="BN98" s="41"/>
      <c r="BO98" s="41"/>
      <c r="BP98" s="41"/>
    </row>
    <row r="99" spans="1:68">
      <c r="A99" s="210"/>
      <c r="B99" s="210"/>
      <c r="C99" s="210"/>
      <c r="D99" s="210"/>
      <c r="E99" s="210"/>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210"/>
      <c r="AD99" s="210"/>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c r="BD99" s="210"/>
      <c r="BE99" s="41"/>
      <c r="BF99" s="41"/>
      <c r="BG99" s="41"/>
      <c r="BH99" s="41"/>
      <c r="BI99" s="41"/>
      <c r="BJ99" s="41"/>
      <c r="BK99" s="41"/>
      <c r="BL99" s="41"/>
      <c r="BM99" s="41"/>
      <c r="BN99" s="41"/>
      <c r="BO99" s="41"/>
      <c r="BP99" s="41"/>
    </row>
    <row r="100" spans="1:68">
      <c r="A100" s="210"/>
      <c r="B100" s="210"/>
      <c r="C100" s="210"/>
      <c r="D100" s="210"/>
      <c r="E100" s="210"/>
      <c r="F100" s="210"/>
      <c r="G100" s="210"/>
      <c r="H100" s="210"/>
      <c r="I100" s="210"/>
      <c r="J100" s="210"/>
      <c r="K100" s="210"/>
      <c r="L100" s="210"/>
      <c r="M100" s="210"/>
      <c r="N100" s="210"/>
      <c r="O100" s="210"/>
      <c r="P100" s="210"/>
      <c r="Q100" s="210"/>
      <c r="R100" s="210"/>
      <c r="S100" s="210"/>
      <c r="T100" s="210"/>
      <c r="U100" s="210"/>
      <c r="V100" s="210"/>
      <c r="W100" s="210"/>
      <c r="X100" s="210"/>
      <c r="Y100" s="210"/>
      <c r="Z100" s="210"/>
      <c r="AA100" s="210"/>
      <c r="AB100" s="210"/>
      <c r="AC100" s="210"/>
      <c r="AD100" s="210"/>
      <c r="AE100" s="210"/>
      <c r="AF100" s="210"/>
      <c r="AG100" s="210"/>
      <c r="AH100" s="210"/>
      <c r="AI100" s="210"/>
      <c r="AJ100" s="210"/>
      <c r="AK100" s="210"/>
      <c r="AL100" s="210"/>
      <c r="AM100" s="210"/>
      <c r="AN100" s="210"/>
      <c r="AO100" s="210"/>
      <c r="AP100" s="210"/>
      <c r="AQ100" s="210"/>
      <c r="AR100" s="210"/>
      <c r="AS100" s="210"/>
      <c r="AT100" s="210"/>
      <c r="AU100" s="210"/>
      <c r="AV100" s="210"/>
      <c r="AW100" s="210"/>
      <c r="AX100" s="210"/>
      <c r="AY100" s="210"/>
      <c r="AZ100" s="210"/>
      <c r="BA100" s="210"/>
      <c r="BB100" s="210"/>
      <c r="BC100" s="210"/>
      <c r="BD100" s="210"/>
      <c r="BE100" s="41"/>
      <c r="BF100" s="41"/>
      <c r="BG100" s="41"/>
      <c r="BH100" s="41"/>
      <c r="BI100" s="41"/>
      <c r="BJ100" s="41"/>
      <c r="BK100" s="41"/>
      <c r="BL100" s="41"/>
      <c r="BM100" s="41"/>
      <c r="BN100" s="41"/>
      <c r="BO100" s="41"/>
      <c r="BP100" s="41"/>
    </row>
    <row r="101" spans="1:68">
      <c r="A101" s="210"/>
      <c r="B101" s="210"/>
      <c r="C101" s="210"/>
      <c r="D101" s="210"/>
      <c r="E101" s="210"/>
      <c r="F101" s="210"/>
      <c r="G101" s="210"/>
      <c r="H101" s="210"/>
      <c r="I101" s="210"/>
      <c r="J101" s="210"/>
      <c r="K101" s="210"/>
      <c r="L101" s="210"/>
      <c r="M101" s="210"/>
      <c r="N101" s="210"/>
      <c r="O101" s="210"/>
      <c r="P101" s="210"/>
      <c r="Q101" s="210"/>
      <c r="R101" s="210" t="s">
        <v>6470</v>
      </c>
      <c r="S101" s="210"/>
      <c r="T101" s="210"/>
      <c r="U101" s="210" t="s">
        <v>6500</v>
      </c>
      <c r="V101" s="210"/>
      <c r="W101" s="210"/>
      <c r="X101" s="210"/>
      <c r="Y101" s="210"/>
      <c r="Z101" s="210"/>
      <c r="AA101" s="210"/>
      <c r="AB101" s="210"/>
      <c r="AC101" s="210"/>
      <c r="AD101" s="210"/>
      <c r="AE101" s="210"/>
      <c r="AF101" s="210"/>
      <c r="AG101" s="210"/>
      <c r="AH101" s="210"/>
      <c r="AI101" s="210"/>
      <c r="AJ101" s="210"/>
      <c r="AK101" s="210"/>
      <c r="AL101" s="210"/>
      <c r="AM101" s="210"/>
      <c r="AN101" s="210"/>
      <c r="AO101" s="210"/>
      <c r="AP101" s="210"/>
      <c r="AQ101" s="210"/>
      <c r="AR101" s="210"/>
      <c r="AS101" s="210"/>
      <c r="AT101" s="210"/>
      <c r="AU101" s="210"/>
      <c r="AV101" s="210"/>
      <c r="AW101" s="210"/>
      <c r="AX101" s="210"/>
      <c r="AY101" s="210"/>
      <c r="AZ101" s="210"/>
      <c r="BA101" s="210"/>
      <c r="BB101" s="210"/>
      <c r="BC101" s="210"/>
      <c r="BD101" s="210"/>
      <c r="BE101" s="41"/>
      <c r="BF101" s="41"/>
      <c r="BG101" s="41"/>
      <c r="BH101" s="41"/>
      <c r="BI101" s="41"/>
      <c r="BJ101" s="41"/>
      <c r="BK101" s="41"/>
      <c r="BL101" s="41"/>
      <c r="BM101" s="41"/>
      <c r="BN101" s="41"/>
      <c r="BO101" s="41"/>
      <c r="BP101" s="41"/>
    </row>
    <row r="102" spans="1:68">
      <c r="A102" s="210"/>
      <c r="B102" s="210"/>
      <c r="C102" s="210"/>
      <c r="D102" s="210"/>
      <c r="E102" s="210"/>
      <c r="F102" s="210"/>
      <c r="G102" s="210"/>
      <c r="H102" s="210"/>
      <c r="I102" s="210"/>
      <c r="J102" s="210"/>
      <c r="K102" s="210"/>
      <c r="L102" s="210"/>
      <c r="M102" s="210"/>
      <c r="N102" s="210"/>
      <c r="O102" s="210"/>
      <c r="P102" s="210"/>
      <c r="Q102" s="210"/>
      <c r="R102" s="210"/>
      <c r="S102" s="210"/>
      <c r="T102" s="210"/>
      <c r="U102" s="210"/>
      <c r="V102" s="210"/>
      <c r="W102" s="210"/>
      <c r="X102" s="210"/>
      <c r="Y102" s="210"/>
      <c r="Z102" s="210"/>
      <c r="AA102" s="210"/>
      <c r="AB102" s="210"/>
      <c r="AC102" s="210"/>
      <c r="AD102" s="210"/>
      <c r="AE102" s="210"/>
      <c r="AF102" s="210"/>
      <c r="AG102" s="210"/>
      <c r="AH102" s="210"/>
      <c r="AI102" s="210"/>
      <c r="AJ102" s="210"/>
      <c r="AK102" s="210"/>
      <c r="AL102" s="210"/>
      <c r="AM102" s="210"/>
      <c r="AN102" s="210"/>
      <c r="AO102" s="210"/>
      <c r="AP102" s="210"/>
      <c r="AQ102" s="210"/>
      <c r="AR102" s="210"/>
      <c r="AS102" s="210"/>
      <c r="AT102" s="210"/>
      <c r="AU102" s="210"/>
      <c r="AV102" s="210"/>
      <c r="AW102" s="210"/>
      <c r="AX102" s="210"/>
      <c r="AY102" s="210"/>
      <c r="AZ102" s="210"/>
      <c r="BA102" s="210"/>
      <c r="BB102" s="210"/>
      <c r="BC102" s="210"/>
      <c r="BD102" s="210"/>
      <c r="BE102" s="41"/>
      <c r="BF102" s="41"/>
      <c r="BG102" s="41"/>
      <c r="BH102" s="41"/>
      <c r="BI102" s="41"/>
      <c r="BJ102" s="41"/>
      <c r="BK102" s="41"/>
      <c r="BL102" s="41"/>
      <c r="BM102" s="41"/>
      <c r="BN102" s="41"/>
      <c r="BO102" s="41"/>
      <c r="BP102" s="41"/>
    </row>
    <row r="103" spans="1:68">
      <c r="A103" s="210"/>
      <c r="B103" s="210"/>
      <c r="C103" s="210"/>
      <c r="D103" s="210"/>
      <c r="E103" s="210"/>
      <c r="F103" s="210"/>
      <c r="G103" s="210"/>
      <c r="H103" s="210"/>
      <c r="I103" s="210"/>
      <c r="J103" s="210"/>
      <c r="K103" s="210"/>
      <c r="L103" s="210"/>
      <c r="M103" s="210"/>
      <c r="N103" s="210"/>
      <c r="O103" s="210"/>
      <c r="P103" s="210"/>
      <c r="Q103" s="210"/>
      <c r="R103" s="210"/>
      <c r="S103" s="210"/>
      <c r="T103" s="210"/>
      <c r="U103" s="210"/>
      <c r="V103" s="210"/>
      <c r="W103" s="210"/>
      <c r="X103" s="210"/>
      <c r="Y103" s="210"/>
      <c r="Z103" s="210"/>
      <c r="AA103" s="210"/>
      <c r="AB103" s="210"/>
      <c r="AC103" s="210"/>
      <c r="AD103" s="210"/>
      <c r="AE103" s="210"/>
      <c r="AF103" s="210"/>
      <c r="AG103" s="210"/>
      <c r="AH103" s="210"/>
      <c r="AI103" s="210"/>
      <c r="AJ103" s="210"/>
      <c r="AK103" s="210"/>
      <c r="AL103" s="210"/>
      <c r="AM103" s="210"/>
      <c r="AN103" s="210"/>
      <c r="AO103" s="210"/>
      <c r="AP103" s="210"/>
      <c r="AQ103" s="210"/>
      <c r="AR103" s="210"/>
      <c r="AS103" s="210"/>
      <c r="AT103" s="210"/>
      <c r="AU103" s="210"/>
      <c r="AV103" s="210"/>
      <c r="AW103" s="210"/>
      <c r="AX103" s="210"/>
      <c r="AY103" s="210"/>
      <c r="AZ103" s="210"/>
      <c r="BA103" s="210"/>
      <c r="BB103" s="210"/>
      <c r="BC103" s="210"/>
      <c r="BD103" s="210"/>
      <c r="BE103" s="41"/>
      <c r="BF103" s="41"/>
      <c r="BG103" s="41"/>
      <c r="BH103" s="41"/>
      <c r="BI103" s="41"/>
      <c r="BJ103" s="41"/>
      <c r="BK103" s="41"/>
      <c r="BL103" s="41"/>
      <c r="BM103" s="41"/>
      <c r="BN103" s="41"/>
      <c r="BO103" s="41"/>
      <c r="BP103" s="41"/>
    </row>
    <row r="104" spans="1:68">
      <c r="A104" s="210"/>
      <c r="B104" s="210"/>
      <c r="C104" s="210"/>
      <c r="D104" s="210"/>
      <c r="E104" s="210"/>
      <c r="F104" s="210"/>
      <c r="G104" s="210"/>
      <c r="H104" s="210"/>
      <c r="I104" s="210"/>
      <c r="J104" s="210"/>
      <c r="K104" s="210"/>
      <c r="L104" s="210"/>
      <c r="M104" s="210"/>
      <c r="N104" s="210"/>
      <c r="O104" s="210"/>
      <c r="P104" s="210"/>
      <c r="Q104" s="210"/>
      <c r="R104" s="210"/>
      <c r="S104" s="210"/>
      <c r="T104" s="210"/>
      <c r="U104" s="210"/>
      <c r="V104" s="210"/>
      <c r="W104" s="210"/>
      <c r="X104" s="210"/>
      <c r="Y104" s="210"/>
      <c r="Z104" s="210"/>
      <c r="AA104" s="210"/>
      <c r="AB104" s="210"/>
      <c r="AC104" s="210"/>
      <c r="AD104" s="210"/>
      <c r="AE104" s="210"/>
      <c r="AF104" s="210"/>
      <c r="AG104" s="210"/>
      <c r="AH104" s="210"/>
      <c r="AI104" s="210"/>
      <c r="AJ104" s="210"/>
      <c r="AK104" s="210"/>
      <c r="AL104" s="210"/>
      <c r="AM104" s="210"/>
      <c r="AN104" s="210"/>
      <c r="AO104" s="210"/>
      <c r="AP104" s="210"/>
      <c r="AQ104" s="210"/>
      <c r="AR104" s="210"/>
      <c r="AS104" s="210"/>
      <c r="AT104" s="210"/>
      <c r="AU104" s="210"/>
      <c r="AV104" s="210"/>
      <c r="AW104" s="210"/>
      <c r="AX104" s="210"/>
      <c r="AY104" s="210"/>
      <c r="AZ104" s="210"/>
      <c r="BA104" s="210"/>
      <c r="BB104" s="210"/>
      <c r="BC104" s="210"/>
      <c r="BD104" s="210"/>
      <c r="BE104" s="41"/>
      <c r="BF104" s="41"/>
      <c r="BG104" s="41"/>
      <c r="BH104" s="41"/>
      <c r="BI104" s="41"/>
      <c r="BJ104" s="41"/>
      <c r="BK104" s="41"/>
      <c r="BL104" s="41"/>
      <c r="BM104" s="41"/>
      <c r="BN104" s="41"/>
      <c r="BO104" s="41"/>
      <c r="BP104" s="41"/>
    </row>
    <row r="105" spans="1:68">
      <c r="A105" s="210"/>
      <c r="B105" s="210"/>
      <c r="C105" s="210"/>
      <c r="D105" s="210"/>
      <c r="E105" s="210"/>
      <c r="F105" s="210"/>
      <c r="G105" s="210"/>
      <c r="H105" s="210"/>
      <c r="I105" s="210"/>
      <c r="J105" s="210"/>
      <c r="K105" s="210"/>
      <c r="L105" s="210"/>
      <c r="M105" s="210"/>
      <c r="N105" s="210"/>
      <c r="O105" s="210"/>
      <c r="P105" s="210"/>
      <c r="Q105" s="210"/>
      <c r="R105" s="210"/>
      <c r="S105" s="210"/>
      <c r="T105" s="210"/>
      <c r="U105" s="210"/>
      <c r="V105" s="210"/>
      <c r="W105" s="210"/>
      <c r="X105" s="210"/>
      <c r="Y105" s="210"/>
      <c r="Z105" s="210"/>
      <c r="AA105" s="210"/>
      <c r="AB105" s="210"/>
      <c r="AC105" s="210"/>
      <c r="AD105" s="210"/>
      <c r="AE105" s="210"/>
      <c r="AF105" s="210"/>
      <c r="AG105" s="210"/>
      <c r="AH105" s="210"/>
      <c r="AI105" s="210"/>
      <c r="AJ105" s="210"/>
      <c r="AK105" s="210"/>
      <c r="AL105" s="210"/>
      <c r="AM105" s="210"/>
      <c r="AN105" s="210"/>
      <c r="AO105" s="210"/>
      <c r="AP105" s="210"/>
      <c r="AQ105" s="210"/>
      <c r="AR105" s="210"/>
      <c r="AS105" s="210"/>
      <c r="AT105" s="210"/>
      <c r="AU105" s="210"/>
      <c r="AV105" s="210"/>
      <c r="AW105" s="210"/>
      <c r="AX105" s="210"/>
      <c r="AY105" s="210"/>
      <c r="AZ105" s="210"/>
      <c r="BA105" s="210"/>
      <c r="BB105" s="210"/>
      <c r="BC105" s="210"/>
      <c r="BD105" s="210"/>
      <c r="BE105" s="41"/>
      <c r="BF105" s="41"/>
      <c r="BG105" s="41"/>
      <c r="BH105" s="41"/>
      <c r="BI105" s="41"/>
      <c r="BJ105" s="41"/>
      <c r="BK105" s="41"/>
      <c r="BL105" s="41"/>
      <c r="BM105" s="41"/>
      <c r="BN105" s="41"/>
      <c r="BO105" s="41"/>
      <c r="BP105" s="41"/>
    </row>
    <row r="106" spans="1:68">
      <c r="A106" s="210"/>
      <c r="B106" s="210"/>
      <c r="C106" s="210"/>
      <c r="D106" s="210"/>
      <c r="E106" s="210"/>
      <c r="F106" s="210"/>
      <c r="G106" s="210"/>
      <c r="H106" s="210"/>
      <c r="I106" s="210"/>
      <c r="J106" s="210"/>
      <c r="K106" s="210"/>
      <c r="L106" s="210"/>
      <c r="M106" s="210"/>
      <c r="N106" s="210"/>
      <c r="O106" s="210"/>
      <c r="P106" s="210"/>
      <c r="Q106" s="210" t="s">
        <v>6470</v>
      </c>
      <c r="R106" s="210"/>
      <c r="S106" s="210"/>
      <c r="T106" s="210"/>
      <c r="U106" s="210" t="s">
        <v>6501</v>
      </c>
      <c r="V106" s="210"/>
      <c r="W106" s="210"/>
      <c r="X106" s="210"/>
      <c r="Y106" s="210"/>
      <c r="Z106" s="210"/>
      <c r="AA106" s="210"/>
      <c r="AB106" s="210"/>
      <c r="AC106" s="210"/>
      <c r="AD106" s="210"/>
      <c r="AE106" s="210"/>
      <c r="AF106" s="210"/>
      <c r="AG106" s="210"/>
      <c r="AH106" s="210"/>
      <c r="AI106" s="210"/>
      <c r="AJ106" s="210"/>
      <c r="AK106" s="210"/>
      <c r="AL106" s="210"/>
      <c r="AM106" s="210"/>
      <c r="AN106" s="210"/>
      <c r="AO106" s="210"/>
      <c r="AP106" s="210"/>
      <c r="AQ106" s="210"/>
      <c r="AR106" s="210"/>
      <c r="AS106" s="210"/>
      <c r="AT106" s="210"/>
      <c r="AU106" s="210"/>
      <c r="AV106" s="210"/>
      <c r="AW106" s="210"/>
      <c r="AX106" s="210"/>
      <c r="AY106" s="210"/>
      <c r="AZ106" s="210"/>
      <c r="BA106" s="210"/>
      <c r="BB106" s="210"/>
      <c r="BC106" s="210"/>
      <c r="BD106" s="210"/>
      <c r="BE106" s="41"/>
      <c r="BF106" s="41"/>
      <c r="BG106" s="41"/>
      <c r="BH106" s="41"/>
      <c r="BI106" s="41"/>
      <c r="BJ106" s="41"/>
      <c r="BK106" s="41"/>
      <c r="BL106" s="41"/>
      <c r="BM106" s="41"/>
      <c r="BN106" s="41"/>
      <c r="BO106" s="41"/>
      <c r="BP106" s="41"/>
    </row>
    <row r="107" spans="1:68">
      <c r="A107" s="210"/>
      <c r="B107" s="210"/>
      <c r="C107" s="210"/>
      <c r="D107" s="210"/>
      <c r="E107" s="210"/>
      <c r="F107" s="210"/>
      <c r="G107" s="210"/>
      <c r="H107" s="210"/>
      <c r="I107" s="210"/>
      <c r="J107" s="210"/>
      <c r="K107" s="210"/>
      <c r="L107" s="210"/>
      <c r="M107" s="210"/>
      <c r="N107" s="210"/>
      <c r="O107" s="210"/>
      <c r="P107" s="210"/>
      <c r="Q107" s="210"/>
      <c r="R107" s="210"/>
      <c r="S107" s="210"/>
      <c r="T107" s="210"/>
      <c r="U107" s="210"/>
      <c r="V107" s="210"/>
      <c r="W107" s="210"/>
      <c r="X107" s="210"/>
      <c r="Y107" s="210"/>
      <c r="Z107" s="210"/>
      <c r="AA107" s="210"/>
      <c r="AB107" s="210"/>
      <c r="AC107" s="210"/>
      <c r="AD107" s="210"/>
      <c r="AE107" s="210"/>
      <c r="AF107" s="210"/>
      <c r="AG107" s="210"/>
      <c r="AH107" s="210"/>
      <c r="AI107" s="210"/>
      <c r="AJ107" s="210"/>
      <c r="AK107" s="210"/>
      <c r="AL107" s="210"/>
      <c r="AM107" s="210"/>
      <c r="AN107" s="210"/>
      <c r="AO107" s="210"/>
      <c r="AP107" s="210"/>
      <c r="AQ107" s="210"/>
      <c r="AR107" s="210"/>
      <c r="AS107" s="210"/>
      <c r="AT107" s="210"/>
      <c r="AU107" s="210"/>
      <c r="AV107" s="210"/>
      <c r="AW107" s="210"/>
      <c r="AX107" s="210"/>
      <c r="AY107" s="210"/>
      <c r="AZ107" s="210"/>
      <c r="BA107" s="210"/>
      <c r="BB107" s="210"/>
      <c r="BC107" s="210"/>
      <c r="BD107" s="210"/>
      <c r="BE107" s="41"/>
      <c r="BF107" s="41"/>
      <c r="BG107" s="41"/>
      <c r="BH107" s="41"/>
      <c r="BI107" s="41"/>
      <c r="BJ107" s="41"/>
      <c r="BK107" s="41"/>
      <c r="BL107" s="41"/>
      <c r="BM107" s="41"/>
      <c r="BN107" s="41"/>
      <c r="BO107" s="41"/>
      <c r="BP107" s="41"/>
    </row>
    <row r="108" spans="1:68">
      <c r="A108" s="210"/>
      <c r="B108" s="210"/>
      <c r="C108" s="210"/>
      <c r="D108" s="210"/>
      <c r="E108" s="210"/>
      <c r="F108" s="210"/>
      <c r="G108" s="210"/>
      <c r="H108" s="210"/>
      <c r="I108" s="210"/>
      <c r="J108" s="210"/>
      <c r="K108" s="210"/>
      <c r="L108" s="210"/>
      <c r="M108" s="210"/>
      <c r="N108" s="210"/>
      <c r="O108" s="210"/>
      <c r="P108" s="210"/>
      <c r="Q108" s="210"/>
      <c r="R108" s="210"/>
      <c r="S108" s="210"/>
      <c r="T108" s="210"/>
      <c r="U108" s="210"/>
      <c r="V108" s="210"/>
      <c r="W108" s="210"/>
      <c r="X108" s="210"/>
      <c r="Y108" s="210"/>
      <c r="Z108" s="210"/>
      <c r="AA108" s="210"/>
      <c r="AB108" s="210"/>
      <c r="AC108" s="210"/>
      <c r="AD108" s="210"/>
      <c r="AE108" s="210"/>
      <c r="AF108" s="210"/>
      <c r="AG108" s="210"/>
      <c r="AH108" s="210"/>
      <c r="AI108" s="210"/>
      <c r="AJ108" s="210"/>
      <c r="AK108" s="210"/>
      <c r="AL108" s="210"/>
      <c r="AM108" s="210"/>
      <c r="AN108" s="210"/>
      <c r="AO108" s="210"/>
      <c r="AP108" s="210"/>
      <c r="AQ108" s="210"/>
      <c r="AR108" s="210"/>
      <c r="AS108" s="210"/>
      <c r="AT108" s="210"/>
      <c r="AU108" s="210"/>
      <c r="AV108" s="210"/>
      <c r="AW108" s="210"/>
      <c r="AX108" s="210"/>
      <c r="AY108" s="210"/>
      <c r="AZ108" s="210"/>
      <c r="BA108" s="210"/>
      <c r="BB108" s="210"/>
      <c r="BC108" s="210"/>
      <c r="BD108" s="210"/>
      <c r="BE108" s="41"/>
      <c r="BF108" s="41"/>
      <c r="BG108" s="41"/>
      <c r="BH108" s="41"/>
      <c r="BI108" s="41"/>
      <c r="BJ108" s="41"/>
      <c r="BK108" s="41"/>
      <c r="BL108" s="41"/>
      <c r="BM108" s="41"/>
      <c r="BN108" s="41"/>
      <c r="BO108" s="41"/>
      <c r="BP108" s="41"/>
    </row>
    <row r="109" spans="1:68">
      <c r="A109" s="210"/>
      <c r="B109" s="210"/>
      <c r="C109" s="210"/>
      <c r="D109" s="210"/>
      <c r="E109" s="210"/>
      <c r="F109" s="210"/>
      <c r="G109" s="210"/>
      <c r="H109" s="210"/>
      <c r="I109" s="210"/>
      <c r="J109" s="210"/>
      <c r="K109" s="210"/>
      <c r="L109" s="210"/>
      <c r="M109" s="210"/>
      <c r="N109" s="210"/>
      <c r="O109" s="210"/>
      <c r="P109" s="210"/>
      <c r="Q109" s="210"/>
      <c r="R109" s="210"/>
      <c r="S109" s="210"/>
      <c r="T109" s="210"/>
      <c r="U109" s="210"/>
      <c r="V109" s="210"/>
      <c r="W109" s="210"/>
      <c r="X109" s="210"/>
      <c r="Y109" s="210"/>
      <c r="Z109" s="210"/>
      <c r="AA109" s="210"/>
      <c r="AB109" s="210"/>
      <c r="AC109" s="210"/>
      <c r="AD109" s="210"/>
      <c r="AE109" s="210"/>
      <c r="AF109" s="210"/>
      <c r="AG109" s="210"/>
      <c r="AH109" s="210"/>
      <c r="AI109" s="210"/>
      <c r="AJ109" s="210"/>
      <c r="AK109" s="210"/>
      <c r="AL109" s="210"/>
      <c r="AM109" s="210"/>
      <c r="AN109" s="210"/>
      <c r="AO109" s="210"/>
      <c r="AP109" s="210"/>
      <c r="AQ109" s="210"/>
      <c r="AR109" s="210"/>
      <c r="AS109" s="210"/>
      <c r="AT109" s="210"/>
      <c r="AU109" s="210"/>
      <c r="AV109" s="210"/>
      <c r="AW109" s="210"/>
      <c r="AX109" s="210"/>
      <c r="AY109" s="210"/>
      <c r="AZ109" s="210"/>
      <c r="BA109" s="210"/>
      <c r="BB109" s="210"/>
      <c r="BC109" s="210"/>
      <c r="BD109" s="210"/>
      <c r="BE109" s="41"/>
      <c r="BF109" s="41"/>
      <c r="BG109" s="41"/>
      <c r="BH109" s="41"/>
      <c r="BI109" s="41"/>
      <c r="BJ109" s="41"/>
      <c r="BK109" s="41"/>
      <c r="BL109" s="41"/>
      <c r="BM109" s="41"/>
      <c r="BN109" s="41"/>
      <c r="BO109" s="41"/>
      <c r="BP109" s="41"/>
    </row>
    <row r="110" spans="1:68">
      <c r="A110" s="210"/>
      <c r="B110" s="210"/>
      <c r="C110" s="210"/>
      <c r="D110" s="210"/>
      <c r="E110" s="210"/>
      <c r="F110" s="210"/>
      <c r="G110" s="210"/>
      <c r="H110" s="210"/>
      <c r="I110" s="210"/>
      <c r="J110" s="210"/>
      <c r="K110" s="210"/>
      <c r="L110" s="210"/>
      <c r="M110" s="210"/>
      <c r="N110" s="210"/>
      <c r="O110" s="210"/>
      <c r="P110" s="210"/>
      <c r="Q110" s="210"/>
      <c r="R110" s="210"/>
      <c r="S110" s="210"/>
      <c r="T110" s="210"/>
      <c r="U110" s="210"/>
      <c r="V110" s="210"/>
      <c r="W110" s="210"/>
      <c r="X110" s="210"/>
      <c r="Y110" s="210"/>
      <c r="Z110" s="210"/>
      <c r="AA110" s="210"/>
      <c r="AB110" s="210"/>
      <c r="AC110" s="210"/>
      <c r="AD110" s="210"/>
      <c r="AE110" s="210"/>
      <c r="AF110" s="210"/>
      <c r="AG110" s="210"/>
      <c r="AH110" s="210"/>
      <c r="AI110" s="210"/>
      <c r="AJ110" s="210"/>
      <c r="AK110" s="210"/>
      <c r="AL110" s="210"/>
      <c r="AM110" s="210"/>
      <c r="AN110" s="210"/>
      <c r="AO110" s="210"/>
      <c r="AP110" s="210"/>
      <c r="AQ110" s="210"/>
      <c r="AR110" s="210"/>
      <c r="AS110" s="210"/>
      <c r="AT110" s="210"/>
      <c r="AU110" s="210"/>
      <c r="AV110" s="210"/>
      <c r="AW110" s="210"/>
      <c r="AX110" s="210"/>
      <c r="AY110" s="210"/>
      <c r="AZ110" s="210"/>
      <c r="BA110" s="210"/>
      <c r="BB110" s="210"/>
      <c r="BC110" s="210"/>
      <c r="BD110" s="210"/>
      <c r="BE110" s="41"/>
      <c r="BF110" s="41"/>
      <c r="BG110" s="41"/>
      <c r="BH110" s="41"/>
      <c r="BI110" s="41"/>
      <c r="BJ110" s="41"/>
      <c r="BK110" s="41"/>
      <c r="BL110" s="41"/>
      <c r="BM110" s="41"/>
      <c r="BN110" s="41"/>
      <c r="BO110" s="41"/>
      <c r="BP110" s="41"/>
    </row>
    <row r="111" spans="1:68">
      <c r="A111" s="210"/>
      <c r="B111" s="210"/>
      <c r="C111" s="210"/>
      <c r="D111" s="210"/>
      <c r="E111" s="210"/>
      <c r="F111" s="210"/>
      <c r="G111" s="210"/>
      <c r="H111" s="210"/>
      <c r="I111" s="210"/>
      <c r="J111" s="210"/>
      <c r="K111" s="210"/>
      <c r="L111" s="210"/>
      <c r="M111" s="210"/>
      <c r="N111" s="210"/>
      <c r="O111" s="210"/>
      <c r="P111" s="210"/>
      <c r="Q111" s="210"/>
      <c r="R111" s="210"/>
      <c r="S111" s="210"/>
      <c r="T111" s="210"/>
      <c r="U111" s="210"/>
      <c r="V111" s="210"/>
      <c r="W111" s="210"/>
      <c r="X111" s="210"/>
      <c r="Y111" s="210"/>
      <c r="Z111" s="210"/>
      <c r="AA111" s="210"/>
      <c r="AB111" s="210"/>
      <c r="AC111" s="210"/>
      <c r="AD111" s="210"/>
      <c r="AE111" s="210"/>
      <c r="AF111" s="210"/>
      <c r="AG111" s="210"/>
      <c r="AH111" s="210"/>
      <c r="AI111" s="210"/>
      <c r="AJ111" s="210"/>
      <c r="AK111" s="210"/>
      <c r="AL111" s="210"/>
      <c r="AM111" s="210"/>
      <c r="AN111" s="210"/>
      <c r="AO111" s="210"/>
      <c r="AP111" s="210"/>
      <c r="AQ111" s="210"/>
      <c r="AR111" s="210"/>
      <c r="AS111" s="210"/>
      <c r="AT111" s="210"/>
      <c r="AU111" s="210"/>
      <c r="AV111" s="210"/>
      <c r="AW111" s="210"/>
      <c r="AX111" s="210"/>
      <c r="AY111" s="210"/>
      <c r="AZ111" s="210"/>
      <c r="BA111" s="210"/>
      <c r="BB111" s="210"/>
      <c r="BC111" s="210"/>
      <c r="BD111" s="210"/>
      <c r="BE111" s="41"/>
      <c r="BF111" s="41"/>
      <c r="BG111" s="41"/>
      <c r="BH111" s="41"/>
      <c r="BI111" s="41"/>
      <c r="BJ111" s="41"/>
      <c r="BK111" s="41"/>
      <c r="BL111" s="41"/>
      <c r="BM111" s="41"/>
      <c r="BN111" s="41"/>
      <c r="BO111" s="41"/>
      <c r="BP111" s="41"/>
    </row>
    <row r="112" spans="1:68">
      <c r="A112" s="210"/>
      <c r="B112" s="210"/>
      <c r="C112" s="210"/>
      <c r="D112" s="210"/>
      <c r="E112" s="210"/>
      <c r="F112" s="210"/>
      <c r="G112" s="210"/>
      <c r="H112" s="210"/>
      <c r="I112" s="210"/>
      <c r="J112" s="210"/>
      <c r="K112" s="210"/>
      <c r="L112" s="210"/>
      <c r="M112" s="210"/>
      <c r="N112" s="210"/>
      <c r="O112" s="210"/>
      <c r="P112" s="210"/>
      <c r="Q112" s="210"/>
      <c r="R112" s="210"/>
      <c r="S112" s="210"/>
      <c r="T112" s="210"/>
      <c r="U112" s="210"/>
      <c r="V112" s="210"/>
      <c r="W112" s="210"/>
      <c r="X112" s="210"/>
      <c r="Y112" s="210"/>
      <c r="Z112" s="210"/>
      <c r="AA112" s="210"/>
      <c r="AB112" s="210"/>
      <c r="AC112" s="210"/>
      <c r="AD112" s="210"/>
      <c r="AE112" s="210"/>
      <c r="AF112" s="210"/>
      <c r="AG112" s="210"/>
      <c r="AH112" s="210"/>
      <c r="AI112" s="210"/>
      <c r="AJ112" s="210"/>
      <c r="AK112" s="210"/>
      <c r="AL112" s="210"/>
      <c r="AM112" s="210"/>
      <c r="AN112" s="210"/>
      <c r="AO112" s="210"/>
      <c r="AP112" s="210"/>
      <c r="AQ112" s="210"/>
      <c r="AR112" s="210"/>
      <c r="AS112" s="210"/>
      <c r="AT112" s="210"/>
      <c r="AU112" s="210"/>
      <c r="AV112" s="210"/>
      <c r="AW112" s="210"/>
      <c r="AX112" s="210"/>
      <c r="AY112" s="210"/>
      <c r="AZ112" s="210"/>
      <c r="BA112" s="210"/>
      <c r="BB112" s="210"/>
      <c r="BC112" s="210"/>
      <c r="BD112" s="210"/>
      <c r="BE112" s="41"/>
      <c r="BF112" s="41"/>
      <c r="BG112" s="41"/>
      <c r="BH112" s="41"/>
      <c r="BI112" s="41"/>
      <c r="BJ112" s="41"/>
      <c r="BK112" s="41"/>
      <c r="BL112" s="41"/>
      <c r="BM112" s="41"/>
      <c r="BN112" s="41"/>
      <c r="BO112" s="41"/>
      <c r="BP112" s="41"/>
    </row>
    <row r="113" spans="1:68">
      <c r="A113" s="210"/>
      <c r="B113" s="210"/>
      <c r="C113" s="210"/>
      <c r="D113" s="210"/>
      <c r="E113" s="210"/>
      <c r="F113" s="210"/>
      <c r="G113" s="210"/>
      <c r="H113" s="210"/>
      <c r="I113" s="210"/>
      <c r="J113" s="210"/>
      <c r="K113" s="210"/>
      <c r="L113" s="210"/>
      <c r="M113" s="210"/>
      <c r="N113" s="210"/>
      <c r="O113" s="210"/>
      <c r="P113" s="210"/>
      <c r="Q113" s="210"/>
      <c r="R113" s="210"/>
      <c r="S113" s="210"/>
      <c r="T113" s="210"/>
      <c r="U113" s="210"/>
      <c r="V113" s="210"/>
      <c r="W113" s="210"/>
      <c r="X113" s="210"/>
      <c r="Y113" s="210"/>
      <c r="Z113" s="210"/>
      <c r="AA113" s="210"/>
      <c r="AB113" s="210"/>
      <c r="AC113" s="210"/>
      <c r="AD113" s="210"/>
      <c r="AE113" s="210"/>
      <c r="AF113" s="210"/>
      <c r="AG113" s="210"/>
      <c r="AH113" s="210"/>
      <c r="AI113" s="210"/>
      <c r="AJ113" s="210"/>
      <c r="AK113" s="210"/>
      <c r="AL113" s="210"/>
      <c r="AM113" s="210"/>
      <c r="AN113" s="210"/>
      <c r="AO113" s="210"/>
      <c r="AP113" s="210"/>
      <c r="AQ113" s="210"/>
      <c r="AR113" s="210"/>
      <c r="AS113" s="210"/>
      <c r="AT113" s="210"/>
      <c r="AU113" s="210"/>
      <c r="AV113" s="210"/>
      <c r="AW113" s="210"/>
      <c r="AX113" s="210"/>
      <c r="AY113" s="210"/>
      <c r="AZ113" s="210"/>
      <c r="BA113" s="210"/>
      <c r="BB113" s="210"/>
      <c r="BC113" s="210"/>
      <c r="BD113" s="210"/>
      <c r="BE113" s="41"/>
      <c r="BF113" s="41"/>
      <c r="BG113" s="41"/>
      <c r="BH113" s="41"/>
      <c r="BI113" s="41"/>
      <c r="BJ113" s="41"/>
      <c r="BK113" s="41"/>
      <c r="BL113" s="41"/>
      <c r="BM113" s="41"/>
      <c r="BN113" s="41"/>
      <c r="BO113" s="41"/>
      <c r="BP113" s="41"/>
    </row>
    <row r="114" spans="1:68">
      <c r="A114" s="210"/>
      <c r="B114" s="210"/>
      <c r="C114" s="210"/>
      <c r="D114" s="210"/>
      <c r="E114" s="210"/>
      <c r="F114" s="210"/>
      <c r="G114" s="210"/>
      <c r="H114" s="210"/>
      <c r="I114" s="210"/>
      <c r="J114" s="210"/>
      <c r="K114" s="210"/>
      <c r="L114" s="210"/>
      <c r="M114" s="210"/>
      <c r="N114" s="210"/>
      <c r="O114" s="210"/>
      <c r="P114" s="210"/>
      <c r="Q114" s="210"/>
      <c r="R114" s="210"/>
      <c r="S114" s="210"/>
      <c r="T114" s="210"/>
      <c r="U114" s="210"/>
      <c r="V114" s="210"/>
      <c r="W114" s="210"/>
      <c r="X114" s="210"/>
      <c r="Y114" s="210"/>
      <c r="Z114" s="210"/>
      <c r="AA114" s="210"/>
      <c r="AB114" s="210"/>
      <c r="AC114" s="210"/>
      <c r="AD114" s="210"/>
      <c r="AE114" s="210"/>
      <c r="AF114" s="210"/>
      <c r="AG114" s="210"/>
      <c r="AH114" s="210"/>
      <c r="AI114" s="210"/>
      <c r="AJ114" s="210"/>
      <c r="AK114" s="210"/>
      <c r="AL114" s="210"/>
      <c r="AM114" s="210"/>
      <c r="AN114" s="210"/>
      <c r="AO114" s="210"/>
      <c r="AP114" s="210"/>
      <c r="AQ114" s="210"/>
      <c r="AR114" s="210"/>
      <c r="AS114" s="210"/>
      <c r="AT114" s="210"/>
      <c r="AU114" s="210"/>
      <c r="AV114" s="210"/>
      <c r="AW114" s="210"/>
      <c r="AX114" s="210"/>
      <c r="AY114" s="210"/>
      <c r="AZ114" s="210"/>
      <c r="BA114" s="210"/>
      <c r="BB114" s="210"/>
      <c r="BC114" s="210"/>
      <c r="BD114" s="210"/>
      <c r="BE114" s="41"/>
      <c r="BF114" s="41"/>
      <c r="BG114" s="41"/>
      <c r="BH114" s="41"/>
      <c r="BI114" s="41"/>
      <c r="BJ114" s="41"/>
      <c r="BK114" s="41"/>
      <c r="BL114" s="41"/>
      <c r="BM114" s="41"/>
      <c r="BN114" s="41"/>
      <c r="BO114" s="41"/>
      <c r="BP114" s="41"/>
    </row>
    <row r="115" spans="1:68">
      <c r="A115" s="210"/>
      <c r="B115" s="210"/>
      <c r="C115" s="210"/>
      <c r="D115" s="210"/>
      <c r="E115" s="210"/>
      <c r="F115" s="210"/>
      <c r="G115" s="210"/>
      <c r="H115" s="210"/>
      <c r="I115" s="210"/>
      <c r="J115" s="210"/>
      <c r="K115" s="210"/>
      <c r="L115" s="210"/>
      <c r="M115" s="210"/>
      <c r="N115" s="210"/>
      <c r="O115" s="210"/>
      <c r="P115" s="210"/>
      <c r="Q115" s="210"/>
      <c r="R115" s="210"/>
      <c r="S115" s="210"/>
      <c r="T115" s="210"/>
      <c r="U115" s="210"/>
      <c r="V115" s="210"/>
      <c r="W115" s="210"/>
      <c r="X115" s="210"/>
      <c r="Y115" s="210"/>
      <c r="Z115" s="210"/>
      <c r="AA115" s="210"/>
      <c r="AB115" s="210"/>
      <c r="AC115" s="210"/>
      <c r="AD115" s="210"/>
      <c r="AE115" s="210"/>
      <c r="AF115" s="210"/>
      <c r="AG115" s="210"/>
      <c r="AH115" s="210"/>
      <c r="AI115" s="210"/>
      <c r="AJ115" s="210"/>
      <c r="AK115" s="210"/>
      <c r="AL115" s="210"/>
      <c r="AM115" s="210"/>
      <c r="AN115" s="210"/>
      <c r="AO115" s="210"/>
      <c r="AP115" s="210"/>
      <c r="AQ115" s="210"/>
      <c r="AR115" s="210"/>
      <c r="AS115" s="210"/>
      <c r="AT115" s="210"/>
      <c r="AU115" s="210"/>
      <c r="AV115" s="210"/>
      <c r="AW115" s="210"/>
      <c r="AX115" s="210"/>
      <c r="AY115" s="210"/>
      <c r="AZ115" s="210"/>
      <c r="BA115" s="210"/>
      <c r="BB115" s="210"/>
      <c r="BC115" s="210"/>
      <c r="BD115" s="210"/>
      <c r="BE115" s="41"/>
      <c r="BF115" s="41"/>
      <c r="BG115" s="41"/>
      <c r="BH115" s="41"/>
      <c r="BI115" s="41"/>
      <c r="BJ115" s="41"/>
      <c r="BK115" s="41"/>
      <c r="BL115" s="41"/>
      <c r="BM115" s="41"/>
      <c r="BN115" s="41"/>
      <c r="BO115" s="41"/>
      <c r="BP115" s="41"/>
    </row>
    <row r="116" spans="1:68">
      <c r="A116" s="210"/>
      <c r="B116" s="210"/>
      <c r="C116" s="210"/>
      <c r="D116" s="210"/>
      <c r="E116" s="210"/>
      <c r="F116" s="210"/>
      <c r="G116" s="210"/>
      <c r="H116" s="210"/>
      <c r="I116" s="210"/>
      <c r="J116" s="210"/>
      <c r="K116" s="210"/>
      <c r="L116" s="210"/>
      <c r="M116" s="210"/>
      <c r="N116" s="210"/>
      <c r="O116" s="210"/>
      <c r="P116" s="210"/>
      <c r="Q116" s="210"/>
      <c r="R116" s="210"/>
      <c r="S116" s="210"/>
      <c r="T116" s="210"/>
      <c r="U116" s="210"/>
      <c r="V116" s="210"/>
      <c r="W116" s="210"/>
      <c r="X116" s="210"/>
      <c r="Y116" s="210"/>
      <c r="Z116" s="210"/>
      <c r="AA116" s="210"/>
      <c r="AB116" s="210"/>
      <c r="AC116" s="210"/>
      <c r="AD116" s="210"/>
      <c r="AE116" s="210"/>
      <c r="AF116" s="210"/>
      <c r="AG116" s="210"/>
      <c r="AH116" s="210"/>
      <c r="AI116" s="210"/>
      <c r="AJ116" s="210"/>
      <c r="AK116" s="210"/>
      <c r="AL116" s="210"/>
      <c r="AM116" s="210"/>
      <c r="AN116" s="210"/>
      <c r="AO116" s="210"/>
      <c r="AP116" s="210"/>
      <c r="AQ116" s="210"/>
      <c r="AR116" s="210"/>
      <c r="AS116" s="210"/>
      <c r="AT116" s="210"/>
      <c r="AU116" s="210"/>
      <c r="AV116" s="210"/>
      <c r="AW116" s="210"/>
      <c r="AX116" s="210"/>
      <c r="AY116" s="210"/>
      <c r="AZ116" s="210"/>
      <c r="BA116" s="210"/>
      <c r="BB116" s="210"/>
      <c r="BC116" s="210"/>
      <c r="BD116" s="210"/>
      <c r="BE116" s="41"/>
      <c r="BF116" s="41"/>
      <c r="BG116" s="41"/>
      <c r="BH116" s="41"/>
      <c r="BI116" s="41"/>
      <c r="BJ116" s="41"/>
      <c r="BK116" s="41"/>
      <c r="BL116" s="41"/>
      <c r="BM116" s="41"/>
      <c r="BN116" s="41"/>
      <c r="BO116" s="41"/>
      <c r="BP116" s="41"/>
    </row>
    <row r="117" spans="1:68">
      <c r="A117" s="210"/>
      <c r="B117" s="210"/>
      <c r="C117" s="210"/>
      <c r="D117" s="210"/>
      <c r="E117" s="210"/>
      <c r="F117" s="210"/>
      <c r="G117" s="210"/>
      <c r="H117" s="210"/>
      <c r="I117" s="210"/>
      <c r="J117" s="210"/>
      <c r="K117" s="210"/>
      <c r="L117" s="210"/>
      <c r="M117" s="210"/>
      <c r="N117" s="210"/>
      <c r="O117" s="210"/>
      <c r="P117" s="210"/>
      <c r="Q117" s="210"/>
      <c r="R117" s="210"/>
      <c r="S117" s="210"/>
      <c r="T117" s="210"/>
      <c r="U117" s="210"/>
      <c r="V117" s="210"/>
      <c r="W117" s="210"/>
      <c r="X117" s="210"/>
      <c r="Y117" s="210"/>
      <c r="Z117" s="210"/>
      <c r="AA117" s="210"/>
      <c r="AB117" s="210"/>
      <c r="AC117" s="210"/>
      <c r="AD117" s="210"/>
      <c r="AE117" s="210"/>
      <c r="AF117" s="210"/>
      <c r="AG117" s="210"/>
      <c r="AH117" s="210"/>
      <c r="AI117" s="210"/>
      <c r="AJ117" s="210"/>
      <c r="AK117" s="210"/>
      <c r="AL117" s="210"/>
      <c r="AM117" s="210"/>
      <c r="AN117" s="210"/>
      <c r="AO117" s="210"/>
      <c r="AP117" s="210"/>
      <c r="AQ117" s="210"/>
      <c r="AR117" s="210"/>
      <c r="AS117" s="210"/>
      <c r="AT117" s="210"/>
      <c r="AU117" s="210"/>
      <c r="AV117" s="210"/>
      <c r="AW117" s="210"/>
      <c r="AX117" s="210"/>
      <c r="AY117" s="210"/>
      <c r="AZ117" s="210"/>
      <c r="BA117" s="210"/>
      <c r="BB117" s="210"/>
      <c r="BC117" s="210"/>
      <c r="BD117" s="210"/>
      <c r="BE117" s="41"/>
      <c r="BF117" s="41"/>
      <c r="BG117" s="41"/>
      <c r="BH117" s="41"/>
      <c r="BI117" s="41"/>
      <c r="BJ117" s="41"/>
      <c r="BK117" s="41"/>
      <c r="BL117" s="41"/>
      <c r="BM117" s="41"/>
      <c r="BN117" s="41"/>
      <c r="BO117" s="41"/>
      <c r="BP117" s="41"/>
    </row>
    <row r="118" spans="1:68">
      <c r="A118" s="210"/>
      <c r="B118" s="210"/>
      <c r="C118" s="210"/>
      <c r="D118" s="210"/>
      <c r="E118" s="210"/>
      <c r="F118" s="210"/>
      <c r="G118" s="210"/>
      <c r="H118" s="210"/>
      <c r="I118" s="210"/>
      <c r="J118" s="210"/>
      <c r="K118" s="210"/>
      <c r="L118" s="210"/>
      <c r="M118" s="210"/>
      <c r="N118" s="210"/>
      <c r="O118" s="210"/>
      <c r="P118" s="210"/>
      <c r="Q118" s="210"/>
      <c r="R118" s="210"/>
      <c r="S118" s="210"/>
      <c r="T118" s="210"/>
      <c r="U118" s="210"/>
      <c r="V118" s="210"/>
      <c r="W118" s="210"/>
      <c r="X118" s="210"/>
      <c r="Y118" s="210"/>
      <c r="Z118" s="210"/>
      <c r="AA118" s="210"/>
      <c r="AB118" s="210"/>
      <c r="AC118" s="210"/>
      <c r="AD118" s="210"/>
      <c r="AE118" s="210"/>
      <c r="AF118" s="210"/>
      <c r="AG118" s="210"/>
      <c r="AH118" s="210"/>
      <c r="AI118" s="210"/>
      <c r="AJ118" s="210"/>
      <c r="AK118" s="210"/>
      <c r="AL118" s="210"/>
      <c r="AM118" s="210"/>
      <c r="AN118" s="210"/>
      <c r="AO118" s="210"/>
      <c r="AP118" s="210"/>
      <c r="AQ118" s="210"/>
      <c r="AR118" s="210"/>
      <c r="AS118" s="210"/>
      <c r="AT118" s="210"/>
      <c r="AU118" s="210"/>
      <c r="AV118" s="210"/>
      <c r="AW118" s="210"/>
      <c r="AX118" s="210"/>
      <c r="AY118" s="210"/>
      <c r="AZ118" s="210"/>
      <c r="BA118" s="210"/>
      <c r="BB118" s="210"/>
      <c r="BC118" s="210"/>
      <c r="BD118" s="210"/>
      <c r="BE118" s="41"/>
      <c r="BF118" s="41"/>
      <c r="BG118" s="41"/>
      <c r="BH118" s="41"/>
      <c r="BI118" s="41"/>
      <c r="BJ118" s="41"/>
      <c r="BK118" s="41"/>
      <c r="BL118" s="41"/>
      <c r="BM118" s="41"/>
      <c r="BN118" s="41"/>
      <c r="BO118" s="41"/>
      <c r="BP118" s="41"/>
    </row>
    <row r="119" spans="1:68">
      <c r="A119" s="210"/>
      <c r="B119" s="210"/>
      <c r="C119" s="210"/>
      <c r="D119" s="210"/>
      <c r="E119" s="210"/>
      <c r="F119" s="210"/>
      <c r="G119" s="210"/>
      <c r="H119" s="210"/>
      <c r="I119" s="210"/>
      <c r="J119" s="210"/>
      <c r="K119" s="210"/>
      <c r="L119" s="210"/>
      <c r="M119" s="210"/>
      <c r="N119" s="210"/>
      <c r="O119" s="210"/>
      <c r="P119" s="210"/>
      <c r="Q119" s="210"/>
      <c r="R119" s="210"/>
      <c r="S119" s="210"/>
      <c r="T119" s="210"/>
      <c r="U119" s="210"/>
      <c r="V119" s="210"/>
      <c r="W119" s="210"/>
      <c r="X119" s="210"/>
      <c r="Y119" s="210"/>
      <c r="Z119" s="210"/>
      <c r="AA119" s="210"/>
      <c r="AB119" s="210"/>
      <c r="AC119" s="210"/>
      <c r="AD119" s="210"/>
      <c r="AE119" s="210"/>
      <c r="AF119" s="210"/>
      <c r="AG119" s="210"/>
      <c r="AH119" s="210"/>
      <c r="AI119" s="210"/>
      <c r="AJ119" s="210"/>
      <c r="AK119" s="210"/>
      <c r="AL119" s="210"/>
      <c r="AM119" s="210"/>
      <c r="AN119" s="210"/>
      <c r="AO119" s="210"/>
      <c r="AP119" s="210"/>
      <c r="AQ119" s="210"/>
      <c r="AR119" s="210"/>
      <c r="AS119" s="210"/>
      <c r="AT119" s="210"/>
      <c r="AU119" s="210"/>
      <c r="AV119" s="210"/>
      <c r="AW119" s="210"/>
      <c r="AX119" s="210"/>
      <c r="AY119" s="210"/>
      <c r="AZ119" s="210"/>
      <c r="BA119" s="210"/>
      <c r="BB119" s="210"/>
      <c r="BC119" s="210"/>
      <c r="BD119" s="210"/>
      <c r="BE119" s="41"/>
      <c r="BF119" s="41"/>
      <c r="BG119" s="41"/>
      <c r="BH119" s="41"/>
      <c r="BI119" s="41"/>
      <c r="BJ119" s="41"/>
      <c r="BK119" s="41"/>
      <c r="BL119" s="41"/>
      <c r="BM119" s="41"/>
      <c r="BN119" s="41"/>
      <c r="BO119" s="41"/>
      <c r="BP119" s="41"/>
    </row>
    <row r="120" spans="1:68">
      <c r="A120" s="210"/>
      <c r="B120" s="210"/>
      <c r="C120" s="210"/>
      <c r="D120" s="210"/>
      <c r="E120" s="210"/>
      <c r="F120" s="210"/>
      <c r="G120" s="210"/>
      <c r="H120" s="210"/>
      <c r="I120" s="210"/>
      <c r="J120" s="210"/>
      <c r="K120" s="210"/>
      <c r="L120" s="210"/>
      <c r="M120" s="210"/>
      <c r="N120" s="210"/>
      <c r="O120" s="210"/>
      <c r="P120" s="210"/>
      <c r="Q120" s="210"/>
      <c r="R120" s="210"/>
      <c r="S120" s="210"/>
      <c r="T120" s="210"/>
      <c r="U120" s="210"/>
      <c r="V120" s="210"/>
      <c r="W120" s="210"/>
      <c r="X120" s="210"/>
      <c r="Y120" s="210"/>
      <c r="Z120" s="210"/>
      <c r="AA120" s="210"/>
      <c r="AB120" s="210"/>
      <c r="AC120" s="210"/>
      <c r="AD120" s="210"/>
      <c r="AE120" s="210"/>
      <c r="AF120" s="210"/>
      <c r="AG120" s="210"/>
      <c r="AH120" s="210"/>
      <c r="AI120" s="210"/>
      <c r="AJ120" s="210"/>
      <c r="AK120" s="210"/>
      <c r="AL120" s="210"/>
      <c r="AM120" s="210"/>
      <c r="AN120" s="210"/>
      <c r="AO120" s="210"/>
      <c r="AP120" s="210"/>
      <c r="AQ120" s="210"/>
      <c r="AR120" s="210"/>
      <c r="AS120" s="210"/>
      <c r="AT120" s="210"/>
      <c r="AU120" s="210"/>
      <c r="AV120" s="210"/>
      <c r="AW120" s="210"/>
      <c r="AX120" s="210"/>
      <c r="AY120" s="210"/>
      <c r="AZ120" s="210"/>
      <c r="BA120" s="210"/>
      <c r="BB120" s="210"/>
      <c r="BC120" s="210"/>
      <c r="BD120" s="210"/>
      <c r="BE120" s="41"/>
      <c r="BF120" s="41"/>
      <c r="BG120" s="41"/>
      <c r="BH120" s="41"/>
      <c r="BI120" s="41"/>
      <c r="BJ120" s="41"/>
      <c r="BK120" s="41"/>
      <c r="BL120" s="41"/>
      <c r="BM120" s="41"/>
      <c r="BN120" s="41"/>
      <c r="BO120" s="41"/>
      <c r="BP120" s="41"/>
    </row>
    <row r="121" spans="1:68">
      <c r="A121" s="210"/>
      <c r="B121" s="210"/>
      <c r="C121" s="210"/>
      <c r="D121" s="210"/>
      <c r="E121" s="210"/>
      <c r="F121" s="210"/>
      <c r="G121" s="210"/>
      <c r="H121" s="210"/>
      <c r="I121" s="210"/>
      <c r="J121" s="210"/>
      <c r="K121" s="210"/>
      <c r="L121" s="210"/>
      <c r="M121" s="210"/>
      <c r="N121" s="210"/>
      <c r="O121" s="210"/>
      <c r="P121" s="210"/>
      <c r="Q121" s="210"/>
      <c r="R121" s="210"/>
      <c r="S121" s="210"/>
      <c r="T121" s="210"/>
      <c r="U121" s="210"/>
      <c r="V121" s="210"/>
      <c r="W121" s="210"/>
      <c r="X121" s="210"/>
      <c r="Y121" s="210"/>
      <c r="Z121" s="210"/>
      <c r="AA121" s="210"/>
      <c r="AB121" s="210"/>
      <c r="AC121" s="210"/>
      <c r="AD121" s="210"/>
      <c r="AE121" s="210"/>
      <c r="AF121" s="210"/>
      <c r="AG121" s="210"/>
      <c r="AH121" s="210"/>
      <c r="AI121" s="210"/>
      <c r="AJ121" s="210"/>
      <c r="AK121" s="210"/>
      <c r="AL121" s="210"/>
      <c r="AM121" s="210"/>
      <c r="AN121" s="210"/>
      <c r="AO121" s="210"/>
      <c r="AP121" s="210"/>
      <c r="AQ121" s="210"/>
      <c r="AR121" s="210"/>
      <c r="AS121" s="210"/>
      <c r="AT121" s="210"/>
      <c r="AU121" s="210"/>
      <c r="AV121" s="210"/>
      <c r="AW121" s="210"/>
      <c r="AX121" s="210"/>
      <c r="AY121" s="210"/>
      <c r="AZ121" s="210"/>
      <c r="BA121" s="210"/>
      <c r="BB121" s="210"/>
      <c r="BC121" s="210"/>
      <c r="BD121" s="210"/>
      <c r="BE121" s="41"/>
      <c r="BF121" s="41"/>
      <c r="BG121" s="41"/>
      <c r="BH121" s="41"/>
      <c r="BI121" s="41"/>
      <c r="BJ121" s="41"/>
      <c r="BK121" s="41"/>
      <c r="BL121" s="41"/>
      <c r="BM121" s="41"/>
      <c r="BN121" s="41"/>
      <c r="BO121" s="41"/>
      <c r="BP121" s="41"/>
    </row>
    <row r="122" spans="1:68">
      <c r="A122" s="210"/>
      <c r="B122" s="210"/>
      <c r="C122" s="210"/>
      <c r="D122" s="210"/>
      <c r="E122" s="210"/>
      <c r="F122" s="210"/>
      <c r="G122" s="210"/>
      <c r="H122" s="210"/>
      <c r="I122" s="210"/>
      <c r="J122" s="210"/>
      <c r="K122" s="210"/>
      <c r="L122" s="210"/>
      <c r="M122" s="210"/>
      <c r="N122" s="210"/>
      <c r="O122" s="210"/>
      <c r="P122" s="210"/>
      <c r="Q122" s="210"/>
      <c r="R122" s="210"/>
      <c r="S122" s="210"/>
      <c r="T122" s="210"/>
      <c r="U122" s="210"/>
      <c r="V122" s="210"/>
      <c r="W122" s="210"/>
      <c r="X122" s="210"/>
      <c r="Y122" s="210"/>
      <c r="Z122" s="210"/>
      <c r="AA122" s="210"/>
      <c r="AB122" s="210"/>
      <c r="AC122" s="210"/>
      <c r="AD122" s="210"/>
      <c r="AE122" s="210"/>
      <c r="AF122" s="210"/>
      <c r="AG122" s="210"/>
      <c r="AH122" s="210"/>
      <c r="AI122" s="210"/>
      <c r="AJ122" s="210"/>
      <c r="AK122" s="210"/>
      <c r="AL122" s="210"/>
      <c r="AM122" s="210"/>
      <c r="AN122" s="210"/>
      <c r="AO122" s="210"/>
      <c r="AP122" s="210"/>
      <c r="AQ122" s="210"/>
      <c r="AR122" s="210"/>
      <c r="AS122" s="210"/>
      <c r="AT122" s="210"/>
      <c r="AU122" s="210"/>
      <c r="AV122" s="210"/>
      <c r="AW122" s="210"/>
      <c r="AX122" s="210"/>
      <c r="AY122" s="210"/>
      <c r="AZ122" s="210"/>
      <c r="BA122" s="210"/>
      <c r="BB122" s="210"/>
      <c r="BC122" s="210"/>
      <c r="BD122" s="210"/>
      <c r="BE122" s="41"/>
      <c r="BF122" s="41"/>
      <c r="BG122" s="41"/>
      <c r="BH122" s="41"/>
      <c r="BI122" s="41"/>
      <c r="BJ122" s="41"/>
      <c r="BK122" s="41"/>
      <c r="BL122" s="41"/>
      <c r="BM122" s="41"/>
      <c r="BN122" s="41"/>
      <c r="BO122" s="41"/>
      <c r="BP122" s="41"/>
    </row>
    <row r="123" spans="1:68">
      <c r="A123" s="210"/>
      <c r="B123" s="210"/>
      <c r="C123" s="210"/>
      <c r="D123" s="210"/>
      <c r="E123" s="210"/>
      <c r="F123" s="210"/>
      <c r="G123" s="210"/>
      <c r="H123" s="210"/>
      <c r="I123" s="210"/>
      <c r="J123" s="210"/>
      <c r="K123" s="210"/>
      <c r="L123" s="210"/>
      <c r="M123" s="210"/>
      <c r="N123" s="210"/>
      <c r="O123" s="210"/>
      <c r="P123" s="210"/>
      <c r="Q123" s="210"/>
      <c r="R123" s="210"/>
      <c r="S123" s="210"/>
      <c r="T123" s="210"/>
      <c r="U123" s="210"/>
      <c r="V123" s="210"/>
      <c r="W123" s="210"/>
      <c r="X123" s="210"/>
      <c r="Y123" s="210"/>
      <c r="Z123" s="210"/>
      <c r="AA123" s="210"/>
      <c r="AB123" s="210"/>
      <c r="AC123" s="210"/>
      <c r="AD123" s="210"/>
      <c r="AE123" s="210"/>
      <c r="AF123" s="210"/>
      <c r="AG123" s="210"/>
      <c r="AH123" s="210"/>
      <c r="AI123" s="210"/>
      <c r="AJ123" s="210"/>
      <c r="AK123" s="210"/>
      <c r="AL123" s="210"/>
      <c r="AM123" s="210"/>
      <c r="AN123" s="210"/>
      <c r="AO123" s="210"/>
      <c r="AP123" s="210"/>
      <c r="AQ123" s="210"/>
      <c r="AR123" s="210"/>
      <c r="AS123" s="210"/>
      <c r="AT123" s="210"/>
      <c r="AU123" s="210"/>
      <c r="AV123" s="210"/>
      <c r="AW123" s="210"/>
      <c r="AX123" s="210"/>
      <c r="AY123" s="210"/>
      <c r="AZ123" s="210"/>
      <c r="BA123" s="210"/>
      <c r="BB123" s="210"/>
      <c r="BC123" s="210"/>
      <c r="BD123" s="210"/>
      <c r="BE123" s="41"/>
      <c r="BF123" s="41"/>
      <c r="BG123" s="41"/>
      <c r="BH123" s="41"/>
      <c r="BI123" s="41"/>
      <c r="BJ123" s="41"/>
      <c r="BK123" s="41"/>
      <c r="BL123" s="41"/>
      <c r="BM123" s="41"/>
      <c r="BN123" s="41"/>
      <c r="BO123" s="41"/>
      <c r="BP123" s="41"/>
    </row>
    <row r="124" spans="1:68">
      <c r="A124" s="210"/>
      <c r="B124" s="210"/>
      <c r="C124" s="210"/>
      <c r="D124" s="210"/>
      <c r="E124" s="210"/>
      <c r="F124" s="210"/>
      <c r="G124" s="210"/>
      <c r="H124" s="210"/>
      <c r="I124" s="210"/>
      <c r="J124" s="210"/>
      <c r="K124" s="210"/>
      <c r="L124" s="210"/>
      <c r="M124" s="210"/>
      <c r="N124" s="210"/>
      <c r="O124" s="210"/>
      <c r="P124" s="210"/>
      <c r="Q124" s="210"/>
      <c r="R124" s="210"/>
      <c r="S124" s="210"/>
      <c r="T124" s="210"/>
      <c r="U124" s="210"/>
      <c r="V124" s="210"/>
      <c r="W124" s="210"/>
      <c r="X124" s="210"/>
      <c r="Y124" s="210"/>
      <c r="Z124" s="210"/>
      <c r="AA124" s="210"/>
      <c r="AB124" s="210"/>
      <c r="AC124" s="210"/>
      <c r="AD124" s="210"/>
      <c r="AE124" s="210"/>
      <c r="AF124" s="210"/>
      <c r="AG124" s="210"/>
      <c r="AH124" s="210"/>
      <c r="AI124" s="210"/>
      <c r="AJ124" s="210"/>
      <c r="AK124" s="210"/>
      <c r="AL124" s="210"/>
      <c r="AM124" s="210"/>
      <c r="AN124" s="210"/>
      <c r="AO124" s="210"/>
      <c r="AP124" s="210"/>
      <c r="AQ124" s="210"/>
      <c r="AR124" s="210"/>
      <c r="AS124" s="210"/>
      <c r="AT124" s="210"/>
      <c r="AU124" s="210"/>
      <c r="AV124" s="210"/>
      <c r="AW124" s="210"/>
      <c r="AX124" s="210"/>
      <c r="AY124" s="210"/>
      <c r="AZ124" s="210"/>
      <c r="BA124" s="210"/>
      <c r="BB124" s="210"/>
      <c r="BC124" s="210"/>
      <c r="BD124" s="210"/>
      <c r="BE124" s="41"/>
      <c r="BF124" s="41"/>
      <c r="BG124" s="41"/>
      <c r="BH124" s="41"/>
      <c r="BI124" s="41"/>
      <c r="BJ124" s="41"/>
      <c r="BK124" s="41"/>
      <c r="BL124" s="41"/>
      <c r="BM124" s="41"/>
      <c r="BN124" s="41"/>
      <c r="BO124" s="41"/>
      <c r="BP124" s="41"/>
    </row>
    <row r="125" spans="1:68">
      <c r="A125" s="210"/>
      <c r="B125" s="210"/>
      <c r="C125" s="210"/>
      <c r="D125" s="210"/>
      <c r="E125" s="210"/>
      <c r="F125" s="210"/>
      <c r="G125" s="210"/>
      <c r="H125" s="210"/>
      <c r="I125" s="210"/>
      <c r="J125" s="210"/>
      <c r="K125" s="210"/>
      <c r="L125" s="210"/>
      <c r="M125" s="210"/>
      <c r="N125" s="210"/>
      <c r="O125" s="210"/>
      <c r="P125" s="210"/>
      <c r="Q125" s="210"/>
      <c r="R125" s="210"/>
      <c r="S125" s="210"/>
      <c r="T125" s="210"/>
      <c r="U125" s="210"/>
      <c r="V125" s="210"/>
      <c r="W125" s="210"/>
      <c r="X125" s="210"/>
      <c r="Y125" s="210"/>
      <c r="Z125" s="210"/>
      <c r="AA125" s="210"/>
      <c r="AB125" s="210"/>
      <c r="AC125" s="210"/>
      <c r="AD125" s="210"/>
      <c r="AE125" s="210"/>
      <c r="AF125" s="210"/>
      <c r="AG125" s="210"/>
      <c r="AH125" s="210"/>
      <c r="AI125" s="210"/>
      <c r="AJ125" s="210"/>
      <c r="AK125" s="210"/>
      <c r="AL125" s="210"/>
      <c r="AM125" s="210"/>
      <c r="AN125" s="210"/>
      <c r="AO125" s="210"/>
      <c r="AP125" s="210"/>
      <c r="AQ125" s="210"/>
      <c r="AR125" s="210"/>
      <c r="AS125" s="210"/>
      <c r="AT125" s="210"/>
      <c r="AU125" s="210"/>
      <c r="AV125" s="210"/>
      <c r="AW125" s="210"/>
      <c r="AX125" s="210"/>
      <c r="AY125" s="210"/>
      <c r="AZ125" s="210"/>
      <c r="BA125" s="210"/>
      <c r="BB125" s="210"/>
      <c r="BC125" s="210"/>
      <c r="BD125" s="210"/>
      <c r="BE125" s="41"/>
      <c r="BF125" s="41"/>
      <c r="BG125" s="41"/>
      <c r="BH125" s="41"/>
      <c r="BI125" s="41"/>
      <c r="BJ125" s="41"/>
      <c r="BK125" s="41"/>
      <c r="BL125" s="41"/>
      <c r="BM125" s="41"/>
      <c r="BN125" s="41"/>
      <c r="BO125" s="41"/>
      <c r="BP125" s="41"/>
    </row>
    <row r="126" spans="1:68">
      <c r="A126" s="210"/>
      <c r="B126" s="210"/>
      <c r="C126" s="210"/>
      <c r="D126" s="210"/>
      <c r="E126" s="210"/>
      <c r="F126" s="210"/>
      <c r="G126" s="210"/>
      <c r="H126" s="210"/>
      <c r="I126" s="210"/>
      <c r="J126" s="210"/>
      <c r="K126" s="210"/>
      <c r="L126" s="210"/>
      <c r="M126" s="210"/>
      <c r="N126" s="210"/>
      <c r="O126" s="210"/>
      <c r="P126" s="210"/>
      <c r="Q126" s="210"/>
      <c r="R126" s="210"/>
      <c r="S126" s="210"/>
      <c r="T126" s="210"/>
      <c r="U126" s="210"/>
      <c r="V126" s="210"/>
      <c r="W126" s="210"/>
      <c r="X126" s="210"/>
      <c r="Y126" s="210"/>
      <c r="Z126" s="210"/>
      <c r="AA126" s="210"/>
      <c r="AB126" s="210"/>
      <c r="AC126" s="210"/>
      <c r="AD126" s="210"/>
      <c r="AE126" s="210"/>
      <c r="AF126" s="210"/>
      <c r="AG126" s="210"/>
      <c r="AH126" s="210"/>
      <c r="AI126" s="210"/>
      <c r="AJ126" s="210"/>
      <c r="AK126" s="210"/>
      <c r="AL126" s="210"/>
      <c r="AM126" s="210"/>
      <c r="AN126" s="210"/>
      <c r="AO126" s="210"/>
      <c r="AP126" s="210"/>
      <c r="AQ126" s="210"/>
      <c r="AR126" s="210"/>
      <c r="AS126" s="210"/>
      <c r="AT126" s="210"/>
      <c r="AU126" s="210"/>
      <c r="AV126" s="210"/>
      <c r="AW126" s="210"/>
      <c r="AX126" s="210"/>
      <c r="AY126" s="210"/>
      <c r="AZ126" s="210"/>
      <c r="BA126" s="210"/>
      <c r="BB126" s="210"/>
      <c r="BC126" s="210"/>
      <c r="BD126" s="210"/>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4520</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4530</v>
      </c>
      <c r="B262" s="111">
        <v>-66500</v>
      </c>
      <c r="C262" s="97">
        <v>2</v>
      </c>
      <c r="D262" s="97">
        <f t="shared" si="8"/>
        <v>540</v>
      </c>
      <c r="E262" s="97">
        <f t="shared" si="10"/>
        <v>0</v>
      </c>
      <c r="F262" s="97">
        <f t="shared" si="9"/>
        <v>-35910000</v>
      </c>
      <c r="G262" s="97" t="s">
        <v>3948</v>
      </c>
      <c r="K262" t="s">
        <v>25</v>
      </c>
    </row>
    <row r="263" spans="1:11">
      <c r="A263" s="97" t="s">
        <v>4531</v>
      </c>
      <c r="B263" s="111">
        <v>-37878</v>
      </c>
      <c r="C263" s="97">
        <v>2</v>
      </c>
      <c r="D263" s="97">
        <f t="shared" si="8"/>
        <v>538</v>
      </c>
      <c r="E263" s="97">
        <f t="shared" si="10"/>
        <v>0</v>
      </c>
      <c r="F263" s="97">
        <f t="shared" si="9"/>
        <v>-20378364</v>
      </c>
      <c r="G263" s="97" t="s">
        <v>4532</v>
      </c>
      <c r="J263" t="s">
        <v>25</v>
      </c>
      <c r="K263" t="s">
        <v>25</v>
      </c>
    </row>
    <row r="264" spans="1:11">
      <c r="A264" s="97" t="s">
        <v>4527</v>
      </c>
      <c r="B264" s="111">
        <v>-41500</v>
      </c>
      <c r="C264" s="97">
        <v>3</v>
      </c>
      <c r="D264" s="97">
        <f t="shared" si="8"/>
        <v>536</v>
      </c>
      <c r="E264" s="97">
        <f t="shared" si="10"/>
        <v>0</v>
      </c>
      <c r="F264" s="97">
        <f t="shared" si="9"/>
        <v>-22244000</v>
      </c>
      <c r="G264" s="97" t="s">
        <v>1024</v>
      </c>
      <c r="J264" t="s">
        <v>25</v>
      </c>
    </row>
    <row r="265" spans="1:11">
      <c r="A265" s="97" t="s">
        <v>4553</v>
      </c>
      <c r="B265" s="111">
        <v>-190000</v>
      </c>
      <c r="C265" s="97">
        <v>1</v>
      </c>
      <c r="D265" s="97">
        <f t="shared" si="8"/>
        <v>533</v>
      </c>
      <c r="E265" s="97">
        <f t="shared" si="10"/>
        <v>0</v>
      </c>
      <c r="F265" s="97">
        <f t="shared" si="9"/>
        <v>-101270000</v>
      </c>
      <c r="G265" s="97"/>
    </row>
    <row r="266" spans="1:11">
      <c r="A266" s="97" t="s">
        <v>4552</v>
      </c>
      <c r="B266" s="111">
        <v>-55000</v>
      </c>
      <c r="C266" s="97">
        <v>1</v>
      </c>
      <c r="D266" s="97">
        <f t="shared" si="8"/>
        <v>532</v>
      </c>
      <c r="E266" s="97">
        <f t="shared" si="10"/>
        <v>0</v>
      </c>
      <c r="F266" s="97">
        <f t="shared" si="9"/>
        <v>-29260000</v>
      </c>
      <c r="G266" s="97"/>
    </row>
    <row r="267" spans="1:11">
      <c r="A267" s="97" t="s">
        <v>4545</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4554</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4558</v>
      </c>
      <c r="B271" s="111">
        <v>-9380</v>
      </c>
      <c r="C271" s="97">
        <v>0</v>
      </c>
      <c r="D271" s="97">
        <f t="shared" si="8"/>
        <v>524</v>
      </c>
      <c r="E271" s="97">
        <f t="shared" si="10"/>
        <v>0</v>
      </c>
      <c r="F271" s="97">
        <f t="shared" si="9"/>
        <v>-4915120</v>
      </c>
      <c r="G271" s="97"/>
    </row>
    <row r="272" spans="1:11">
      <c r="A272" s="97" t="s">
        <v>4558</v>
      </c>
      <c r="B272" s="111">
        <v>-2400000</v>
      </c>
      <c r="C272" s="97">
        <v>3</v>
      </c>
      <c r="D272" s="97">
        <f t="shared" si="8"/>
        <v>524</v>
      </c>
      <c r="E272" s="97">
        <f t="shared" si="10"/>
        <v>1</v>
      </c>
      <c r="F272" s="97">
        <f t="shared" si="9"/>
        <v>-1255200000</v>
      </c>
      <c r="G272" s="97"/>
    </row>
    <row r="273" spans="1:11">
      <c r="A273" s="97" t="s">
        <v>4568</v>
      </c>
      <c r="B273" s="111">
        <v>15000</v>
      </c>
      <c r="C273" s="97">
        <v>93</v>
      </c>
      <c r="D273" s="97">
        <f t="shared" si="8"/>
        <v>521</v>
      </c>
      <c r="E273" s="97">
        <f t="shared" si="10"/>
        <v>1</v>
      </c>
      <c r="F273" s="97">
        <f t="shared" si="9"/>
        <v>7800000</v>
      </c>
      <c r="G273" s="97"/>
    </row>
    <row r="274" spans="1:11">
      <c r="A274" s="97" t="s">
        <v>4842</v>
      </c>
      <c r="B274" s="111">
        <v>3500000</v>
      </c>
      <c r="C274" s="97">
        <v>0</v>
      </c>
      <c r="D274" s="97">
        <f t="shared" si="8"/>
        <v>428</v>
      </c>
      <c r="E274" s="97">
        <f t="shared" si="10"/>
        <v>0</v>
      </c>
      <c r="F274" s="97">
        <f t="shared" si="9"/>
        <v>1498000000</v>
      </c>
      <c r="G274" s="97"/>
    </row>
    <row r="275" spans="1:11">
      <c r="A275" s="97" t="s">
        <v>4842</v>
      </c>
      <c r="B275" s="111">
        <v>-224012</v>
      </c>
      <c r="C275" s="97">
        <v>2</v>
      </c>
      <c r="D275" s="97">
        <f t="shared" si="8"/>
        <v>428</v>
      </c>
      <c r="E275" s="97">
        <f t="shared" si="10"/>
        <v>0</v>
      </c>
      <c r="F275" s="97">
        <f t="shared" si="9"/>
        <v>-95877136</v>
      </c>
      <c r="G275" s="97"/>
    </row>
    <row r="276" spans="1:11">
      <c r="A276" s="97" t="s">
        <v>4860</v>
      </c>
      <c r="B276" s="111">
        <v>-104671</v>
      </c>
      <c r="C276" s="97">
        <v>1</v>
      </c>
      <c r="D276" s="97">
        <f>D277+C276</f>
        <v>426</v>
      </c>
      <c r="E276" s="97">
        <f>IF(B277&gt;0,1,0)</f>
        <v>0</v>
      </c>
      <c r="F276" s="97">
        <f t="shared" si="9"/>
        <v>-44589846</v>
      </c>
      <c r="G276" s="97"/>
    </row>
    <row r="277" spans="1:11">
      <c r="A277" s="97" t="s">
        <v>4861</v>
      </c>
      <c r="B277" s="111">
        <v>-272000</v>
      </c>
      <c r="C277" s="97">
        <v>1</v>
      </c>
      <c r="D277" s="97">
        <f>D278+C277</f>
        <v>425</v>
      </c>
      <c r="E277" s="97">
        <f>IF(B278&gt;0,1,0)</f>
        <v>0</v>
      </c>
      <c r="F277" s="97">
        <f t="shared" si="9"/>
        <v>-115600000</v>
      </c>
      <c r="G277" s="97"/>
    </row>
    <row r="278" spans="1:11">
      <c r="A278" s="97" t="s">
        <v>4863</v>
      </c>
      <c r="B278" s="111">
        <v>-2565078</v>
      </c>
      <c r="C278" s="97">
        <v>2</v>
      </c>
      <c r="D278" s="97">
        <f>D279+C278</f>
        <v>424</v>
      </c>
      <c r="E278" s="97">
        <f>IF(B279&gt;0,1,0)</f>
        <v>0</v>
      </c>
      <c r="F278" s="97">
        <f t="shared" si="9"/>
        <v>-1087593072</v>
      </c>
      <c r="G278" s="97"/>
    </row>
    <row r="279" spans="1:11">
      <c r="A279" s="97" t="s">
        <v>4814</v>
      </c>
      <c r="B279" s="111">
        <v>-213500</v>
      </c>
      <c r="C279" s="97">
        <v>1</v>
      </c>
      <c r="D279" s="97">
        <f>D280+C279</f>
        <v>422</v>
      </c>
      <c r="E279" s="97">
        <f>IF(B280&gt;0,1,0)</f>
        <v>0</v>
      </c>
      <c r="F279" s="97">
        <f t="shared" si="9"/>
        <v>-90097000</v>
      </c>
      <c r="G279" s="97"/>
    </row>
    <row r="280" spans="1:11">
      <c r="A280" s="97" t="s">
        <v>4879</v>
      </c>
      <c r="B280" s="111">
        <v>-3810</v>
      </c>
      <c r="C280" s="97">
        <v>1</v>
      </c>
      <c r="D280" s="97">
        <f>D281+C280</f>
        <v>421</v>
      </c>
      <c r="E280" s="97">
        <f>IF(B281&gt;0,1,0)</f>
        <v>0</v>
      </c>
      <c r="F280" s="97">
        <f t="shared" si="9"/>
        <v>-1604010</v>
      </c>
      <c r="G280" s="97"/>
      <c r="J280" t="s">
        <v>25</v>
      </c>
    </row>
    <row r="281" spans="1:11">
      <c r="A281" s="97" t="s">
        <v>4880</v>
      </c>
      <c r="B281" s="111">
        <v>-120632</v>
      </c>
      <c r="C281" s="97">
        <v>1</v>
      </c>
      <c r="D281" s="97">
        <f t="shared" ref="D281:D288" si="11">D282+C281</f>
        <v>420</v>
      </c>
      <c r="E281" s="97">
        <f t="shared" ref="E281:E288" si="12">IF(B282&gt;0,1,0)</f>
        <v>1</v>
      </c>
      <c r="F281" s="97">
        <f t="shared" si="9"/>
        <v>-50544808</v>
      </c>
      <c r="G281" s="97"/>
      <c r="J281" t="s">
        <v>25</v>
      </c>
    </row>
    <row r="282" spans="1:11">
      <c r="A282" s="97" t="s">
        <v>4869</v>
      </c>
      <c r="B282" s="111">
        <v>80000</v>
      </c>
      <c r="C282" s="97">
        <v>0</v>
      </c>
      <c r="D282" s="97">
        <f t="shared" si="11"/>
        <v>419</v>
      </c>
      <c r="E282" s="97">
        <f t="shared" si="12"/>
        <v>0</v>
      </c>
      <c r="F282" s="97">
        <f t="shared" si="9"/>
        <v>33520000</v>
      </c>
      <c r="G282" s="97"/>
    </row>
    <row r="283" spans="1:11">
      <c r="A283" s="97" t="s">
        <v>4869</v>
      </c>
      <c r="B283" s="111">
        <v>-2500</v>
      </c>
      <c r="C283" s="97">
        <v>1</v>
      </c>
      <c r="D283" s="97">
        <f t="shared" si="11"/>
        <v>419</v>
      </c>
      <c r="E283" s="97">
        <f t="shared" si="12"/>
        <v>0</v>
      </c>
      <c r="F283" s="97">
        <f t="shared" si="9"/>
        <v>-1047500</v>
      </c>
      <c r="G283" s="97"/>
      <c r="J283" s="112">
        <f>B422-498804</f>
        <v>4142795</v>
      </c>
    </row>
    <row r="284" spans="1:11">
      <c r="A284" s="97" t="s">
        <v>4873</v>
      </c>
      <c r="B284" s="111">
        <v>-30000</v>
      </c>
      <c r="C284" s="97">
        <v>1</v>
      </c>
      <c r="D284" s="97">
        <f t="shared" si="11"/>
        <v>418</v>
      </c>
      <c r="E284" s="97">
        <f t="shared" si="12"/>
        <v>0</v>
      </c>
      <c r="F284" s="97">
        <f t="shared" si="9"/>
        <v>-12540000</v>
      </c>
      <c r="G284" s="97"/>
    </row>
    <row r="285" spans="1:11">
      <c r="A285" s="97" t="s">
        <v>4881</v>
      </c>
      <c r="B285" s="111">
        <v>-19800</v>
      </c>
      <c r="C285" s="97">
        <v>1</v>
      </c>
      <c r="D285" s="97">
        <f t="shared" si="11"/>
        <v>417</v>
      </c>
      <c r="E285" s="97">
        <f t="shared" si="12"/>
        <v>1</v>
      </c>
      <c r="F285" s="97">
        <f t="shared" si="9"/>
        <v>-8236800</v>
      </c>
      <c r="G285" s="97"/>
      <c r="K285" t="s">
        <v>25</v>
      </c>
    </row>
    <row r="286" spans="1:11">
      <c r="A286" s="97" t="s">
        <v>4872</v>
      </c>
      <c r="B286" s="111">
        <v>940000</v>
      </c>
      <c r="C286" s="97">
        <v>0</v>
      </c>
      <c r="D286" s="97">
        <f t="shared" si="11"/>
        <v>416</v>
      </c>
      <c r="E286" s="97">
        <f t="shared" si="12"/>
        <v>0</v>
      </c>
      <c r="F286" s="97">
        <f t="shared" si="9"/>
        <v>391040000</v>
      </c>
      <c r="G286" s="97"/>
    </row>
    <row r="287" spans="1:11">
      <c r="A287" s="97" t="s">
        <v>4872</v>
      </c>
      <c r="B287" s="111">
        <v>-201000</v>
      </c>
      <c r="C287" s="97">
        <v>1</v>
      </c>
      <c r="D287" s="97">
        <f t="shared" si="11"/>
        <v>416</v>
      </c>
      <c r="E287" s="97">
        <f t="shared" si="12"/>
        <v>0</v>
      </c>
      <c r="F287" s="97">
        <f t="shared" si="9"/>
        <v>-83616000</v>
      </c>
      <c r="G287" s="97"/>
    </row>
    <row r="288" spans="1:11">
      <c r="A288" s="97" t="s">
        <v>4877</v>
      </c>
      <c r="B288" s="111">
        <v>-320930</v>
      </c>
      <c r="C288" s="97">
        <v>3</v>
      </c>
      <c r="D288" s="97">
        <f t="shared" si="11"/>
        <v>415</v>
      </c>
      <c r="E288" s="97">
        <f t="shared" si="12"/>
        <v>0</v>
      </c>
      <c r="F288" s="97">
        <f t="shared" si="9"/>
        <v>-133185950</v>
      </c>
      <c r="G288" s="97"/>
    </row>
    <row r="289" spans="1:10">
      <c r="A289" s="97" t="s">
        <v>4878</v>
      </c>
      <c r="B289" s="111">
        <v>-400000</v>
      </c>
      <c r="C289" s="97">
        <v>1</v>
      </c>
      <c r="D289" s="97">
        <f t="shared" ref="D289:D306" si="13">D290+C289</f>
        <v>412</v>
      </c>
      <c r="E289" s="97">
        <f t="shared" ref="E289:E306" si="14">IF(B290&gt;0,1,0)</f>
        <v>0</v>
      </c>
      <c r="F289" s="97">
        <f t="shared" si="9"/>
        <v>-164800000</v>
      </c>
      <c r="G289" s="97"/>
    </row>
    <row r="290" spans="1:10">
      <c r="A290" s="97" t="s">
        <v>4884</v>
      </c>
      <c r="B290" s="111">
        <v>-16500</v>
      </c>
      <c r="C290" s="97">
        <v>11</v>
      </c>
      <c r="D290" s="97">
        <f t="shared" si="13"/>
        <v>411</v>
      </c>
      <c r="E290" s="97">
        <f t="shared" si="14"/>
        <v>1</v>
      </c>
      <c r="F290" s="97">
        <f t="shared" si="9"/>
        <v>-6765000</v>
      </c>
      <c r="G290" s="97"/>
    </row>
    <row r="291" spans="1:10">
      <c r="A291" s="97" t="s">
        <v>4900</v>
      </c>
      <c r="B291" s="111">
        <v>2600000</v>
      </c>
      <c r="C291" s="97">
        <v>2</v>
      </c>
      <c r="D291" s="97">
        <f t="shared" si="13"/>
        <v>400</v>
      </c>
      <c r="E291" s="97">
        <f t="shared" si="14"/>
        <v>0</v>
      </c>
      <c r="F291" s="97">
        <f t="shared" si="9"/>
        <v>1040000000</v>
      </c>
      <c r="G291" s="97"/>
      <c r="I291" t="s">
        <v>25</v>
      </c>
    </row>
    <row r="292" spans="1:10">
      <c r="A292" s="97" t="s">
        <v>4901</v>
      </c>
      <c r="B292" s="111">
        <v>-1170000</v>
      </c>
      <c r="C292" s="97">
        <v>0</v>
      </c>
      <c r="D292" s="97">
        <f t="shared" si="13"/>
        <v>398</v>
      </c>
      <c r="E292" s="97">
        <f t="shared" si="14"/>
        <v>0</v>
      </c>
      <c r="F292" s="97">
        <f t="shared" si="9"/>
        <v>-465660000</v>
      </c>
      <c r="G292" s="97" t="s">
        <v>4902</v>
      </c>
      <c r="J292" t="s">
        <v>25</v>
      </c>
    </row>
    <row r="293" spans="1:10">
      <c r="A293" s="97" t="s">
        <v>4901</v>
      </c>
      <c r="B293" s="111">
        <v>-9000</v>
      </c>
      <c r="C293" s="97">
        <v>1</v>
      </c>
      <c r="D293" s="97">
        <f t="shared" si="13"/>
        <v>398</v>
      </c>
      <c r="E293" s="97">
        <f t="shared" si="14"/>
        <v>0</v>
      </c>
      <c r="F293" s="97">
        <f t="shared" si="9"/>
        <v>-3582000</v>
      </c>
      <c r="G293" s="97"/>
    </row>
    <row r="294" spans="1:10">
      <c r="A294" s="97" t="s">
        <v>4903</v>
      </c>
      <c r="B294" s="111">
        <v>-1145000</v>
      </c>
      <c r="C294" s="97">
        <v>0</v>
      </c>
      <c r="D294" s="97">
        <f t="shared" si="13"/>
        <v>397</v>
      </c>
      <c r="E294" s="97">
        <f t="shared" si="14"/>
        <v>0</v>
      </c>
      <c r="F294" s="97">
        <f t="shared" si="9"/>
        <v>-454565000</v>
      </c>
      <c r="G294" s="97" t="s">
        <v>4904</v>
      </c>
    </row>
    <row r="295" spans="1:10">
      <c r="A295" s="97" t="s">
        <v>4903</v>
      </c>
      <c r="B295" s="111">
        <v>-94549</v>
      </c>
      <c r="C295" s="97">
        <v>2</v>
      </c>
      <c r="D295" s="97">
        <f t="shared" si="13"/>
        <v>397</v>
      </c>
      <c r="E295" s="97">
        <f t="shared" si="14"/>
        <v>0</v>
      </c>
      <c r="F295" s="97">
        <f t="shared" si="9"/>
        <v>-37535953</v>
      </c>
      <c r="G295" s="97" t="s">
        <v>504</v>
      </c>
      <c r="J295" t="s">
        <v>25</v>
      </c>
    </row>
    <row r="296" spans="1:10">
      <c r="A296" s="97" t="s">
        <v>5052</v>
      </c>
      <c r="B296" s="111">
        <v>-3500</v>
      </c>
      <c r="C296" s="97">
        <v>1</v>
      </c>
      <c r="D296" s="97">
        <f t="shared" si="13"/>
        <v>395</v>
      </c>
      <c r="E296" s="97">
        <f t="shared" si="14"/>
        <v>0</v>
      </c>
      <c r="F296" s="97">
        <f t="shared" si="9"/>
        <v>-1382500</v>
      </c>
      <c r="G296" s="97"/>
      <c r="I296" s="112">
        <f>B422-735892</f>
        <v>3905707</v>
      </c>
    </row>
    <row r="297" spans="1:10">
      <c r="A297" s="97" t="s">
        <v>4911</v>
      </c>
      <c r="B297" s="111">
        <v>-44900</v>
      </c>
      <c r="C297" s="97">
        <v>0</v>
      </c>
      <c r="D297" s="97">
        <f t="shared" si="13"/>
        <v>394</v>
      </c>
      <c r="E297" s="97">
        <f t="shared" si="14"/>
        <v>0</v>
      </c>
      <c r="F297" s="97">
        <f t="shared" si="9"/>
        <v>-17690600</v>
      </c>
      <c r="G297" s="97"/>
    </row>
    <row r="298" spans="1:10">
      <c r="A298" s="97" t="s">
        <v>4911</v>
      </c>
      <c r="B298" s="111">
        <v>-50000</v>
      </c>
      <c r="C298" s="97">
        <v>10</v>
      </c>
      <c r="D298" s="97">
        <f t="shared" si="13"/>
        <v>394</v>
      </c>
      <c r="E298" s="97">
        <f t="shared" si="14"/>
        <v>0</v>
      </c>
      <c r="F298" s="97">
        <f t="shared" si="9"/>
        <v>-19700000</v>
      </c>
      <c r="G298" s="97" t="s">
        <v>504</v>
      </c>
    </row>
    <row r="299" spans="1:10">
      <c r="A299" s="97" t="s">
        <v>4926</v>
      </c>
      <c r="B299" s="111">
        <v>-19850</v>
      </c>
      <c r="C299" s="97">
        <v>1</v>
      </c>
      <c r="D299" s="97">
        <f t="shared" si="13"/>
        <v>384</v>
      </c>
      <c r="E299" s="97">
        <f t="shared" si="14"/>
        <v>0</v>
      </c>
      <c r="F299" s="97">
        <f t="shared" si="9"/>
        <v>-7622400</v>
      </c>
      <c r="G299" s="97"/>
    </row>
    <row r="300" spans="1:10">
      <c r="A300" s="97" t="s">
        <v>4927</v>
      </c>
      <c r="B300" s="111">
        <v>-39770</v>
      </c>
      <c r="C300" s="97">
        <v>6</v>
      </c>
      <c r="D300" s="97">
        <f t="shared" si="13"/>
        <v>383</v>
      </c>
      <c r="E300" s="97">
        <f t="shared" si="14"/>
        <v>0</v>
      </c>
      <c r="F300" s="97">
        <f t="shared" si="9"/>
        <v>-15231910</v>
      </c>
      <c r="G300" s="97"/>
    </row>
    <row r="301" spans="1:10">
      <c r="A301" s="97" t="s">
        <v>4943</v>
      </c>
      <c r="B301" s="111">
        <v>-40000</v>
      </c>
      <c r="C301" s="97">
        <v>71</v>
      </c>
      <c r="D301" s="97">
        <f t="shared" si="13"/>
        <v>377</v>
      </c>
      <c r="E301" s="97">
        <f t="shared" si="14"/>
        <v>1</v>
      </c>
      <c r="F301" s="97">
        <f t="shared" si="9"/>
        <v>-15040000</v>
      </c>
      <c r="G301" s="97"/>
    </row>
    <row r="302" spans="1:10">
      <c r="A302" s="97" t="s">
        <v>5041</v>
      </c>
      <c r="B302" s="111">
        <v>4000000</v>
      </c>
      <c r="C302" s="97">
        <v>1</v>
      </c>
      <c r="D302" s="97">
        <f t="shared" si="13"/>
        <v>306</v>
      </c>
      <c r="E302" s="97">
        <f t="shared" si="14"/>
        <v>0</v>
      </c>
      <c r="F302" s="97">
        <f t="shared" si="9"/>
        <v>1224000000</v>
      </c>
      <c r="G302" s="97"/>
    </row>
    <row r="303" spans="1:10">
      <c r="A303" s="97" t="s">
        <v>5045</v>
      </c>
      <c r="B303" s="111">
        <v>-123860</v>
      </c>
      <c r="C303" s="97">
        <v>1</v>
      </c>
      <c r="D303" s="97">
        <f t="shared" si="13"/>
        <v>305</v>
      </c>
      <c r="E303" s="97">
        <f t="shared" si="14"/>
        <v>0</v>
      </c>
      <c r="F303" s="97">
        <f t="shared" si="9"/>
        <v>-37777300</v>
      </c>
      <c r="G303" s="97"/>
    </row>
    <row r="304" spans="1:10">
      <c r="A304" s="97" t="s">
        <v>5012</v>
      </c>
      <c r="B304" s="111">
        <v>-1660000</v>
      </c>
      <c r="C304" s="97">
        <v>1</v>
      </c>
      <c r="D304" s="97">
        <f t="shared" si="13"/>
        <v>304</v>
      </c>
      <c r="E304" s="97">
        <f t="shared" si="14"/>
        <v>0</v>
      </c>
      <c r="F304" s="97">
        <f t="shared" si="9"/>
        <v>-504640000</v>
      </c>
      <c r="G304" s="97"/>
    </row>
    <row r="305" spans="1:11">
      <c r="A305" s="97" t="s">
        <v>5051</v>
      </c>
      <c r="B305" s="111">
        <v>-63857</v>
      </c>
      <c r="C305" s="97">
        <v>0</v>
      </c>
      <c r="D305" s="97">
        <f t="shared" si="13"/>
        <v>303</v>
      </c>
      <c r="E305" s="97">
        <f t="shared" si="14"/>
        <v>0</v>
      </c>
      <c r="F305" s="97">
        <f t="shared" si="9"/>
        <v>-19348671</v>
      </c>
      <c r="G305" s="97"/>
    </row>
    <row r="306" spans="1:11">
      <c r="A306" s="97" t="s">
        <v>5053</v>
      </c>
      <c r="B306" s="111">
        <v>-631</v>
      </c>
      <c r="C306" s="97">
        <v>2</v>
      </c>
      <c r="D306" s="97">
        <f t="shared" si="13"/>
        <v>303</v>
      </c>
      <c r="E306" s="97">
        <f t="shared" si="14"/>
        <v>0</v>
      </c>
      <c r="F306" s="97">
        <f t="shared" si="9"/>
        <v>-191193</v>
      </c>
      <c r="G306" s="97" t="s">
        <v>504</v>
      </c>
      <c r="J306" t="s">
        <v>25</v>
      </c>
    </row>
    <row r="307" spans="1:11">
      <c r="A307" s="97" t="s">
        <v>5057</v>
      </c>
      <c r="B307" s="111">
        <v>-248905</v>
      </c>
      <c r="C307" s="97">
        <v>2</v>
      </c>
      <c r="D307" s="97">
        <f t="shared" ref="D307:D318" si="15">D308+C307</f>
        <v>301</v>
      </c>
      <c r="E307" s="97">
        <f t="shared" ref="E307:E318" si="16">IF(B308&gt;0,1,0)</f>
        <v>0</v>
      </c>
      <c r="F307" s="97">
        <f t="shared" si="9"/>
        <v>-74920405</v>
      </c>
      <c r="G307" s="97"/>
    </row>
    <row r="308" spans="1:11">
      <c r="A308" s="97" t="s">
        <v>5055</v>
      </c>
      <c r="B308" s="111">
        <v>-200000</v>
      </c>
      <c r="C308" s="97">
        <v>0</v>
      </c>
      <c r="D308" s="97">
        <f t="shared" si="15"/>
        <v>299</v>
      </c>
      <c r="E308" s="97">
        <f t="shared" si="16"/>
        <v>0</v>
      </c>
      <c r="F308" s="97">
        <f t="shared" si="9"/>
        <v>-59800000</v>
      </c>
      <c r="G308" s="97"/>
    </row>
    <row r="309" spans="1:11">
      <c r="A309" s="97" t="s">
        <v>5055</v>
      </c>
      <c r="B309" s="111">
        <v>-200000</v>
      </c>
      <c r="C309" s="97">
        <v>3</v>
      </c>
      <c r="D309" s="97">
        <f t="shared" si="15"/>
        <v>299</v>
      </c>
      <c r="E309" s="97">
        <f t="shared" si="16"/>
        <v>0</v>
      </c>
      <c r="F309" s="97">
        <f t="shared" si="9"/>
        <v>-59800000</v>
      </c>
      <c r="G309" s="97"/>
    </row>
    <row r="310" spans="1:11">
      <c r="A310" s="97" t="s">
        <v>5062</v>
      </c>
      <c r="B310" s="111">
        <v>-832590</v>
      </c>
      <c r="C310" s="97">
        <v>0</v>
      </c>
      <c r="D310" s="97">
        <f t="shared" si="15"/>
        <v>296</v>
      </c>
      <c r="E310" s="97">
        <f t="shared" si="16"/>
        <v>0</v>
      </c>
      <c r="F310" s="97">
        <f t="shared" si="9"/>
        <v>-246446640</v>
      </c>
      <c r="G310" s="97"/>
    </row>
    <row r="311" spans="1:11">
      <c r="A311" s="97" t="s">
        <v>5062</v>
      </c>
      <c r="B311" s="111">
        <v>-29950</v>
      </c>
      <c r="C311" s="97">
        <v>1</v>
      </c>
      <c r="D311" s="97">
        <f t="shared" si="15"/>
        <v>296</v>
      </c>
      <c r="E311" s="97">
        <f t="shared" si="16"/>
        <v>0</v>
      </c>
      <c r="F311" s="97">
        <f t="shared" si="9"/>
        <v>-8865200</v>
      </c>
      <c r="G311" s="97"/>
      <c r="K311" t="s">
        <v>25</v>
      </c>
    </row>
    <row r="312" spans="1:11">
      <c r="A312" s="97" t="s">
        <v>5100</v>
      </c>
      <c r="B312" s="111">
        <v>-8500</v>
      </c>
      <c r="C312" s="97">
        <v>1</v>
      </c>
      <c r="D312" s="97">
        <f t="shared" si="15"/>
        <v>295</v>
      </c>
      <c r="E312" s="97">
        <f t="shared" si="16"/>
        <v>0</v>
      </c>
      <c r="F312" s="97">
        <f t="shared" si="9"/>
        <v>-2507500</v>
      </c>
      <c r="G312" s="97"/>
    </row>
    <row r="313" spans="1:11">
      <c r="A313" s="97" t="s">
        <v>5079</v>
      </c>
      <c r="B313" s="111">
        <v>-116300</v>
      </c>
      <c r="C313" s="97">
        <v>1</v>
      </c>
      <c r="D313" s="97">
        <f t="shared" si="15"/>
        <v>294</v>
      </c>
      <c r="E313" s="97">
        <f t="shared" si="16"/>
        <v>0</v>
      </c>
      <c r="F313" s="97">
        <f t="shared" si="9"/>
        <v>-34192200</v>
      </c>
      <c r="G313" s="97"/>
    </row>
    <row r="314" spans="1:11">
      <c r="A314" s="97" t="s">
        <v>5065</v>
      </c>
      <c r="B314" s="111">
        <v>-75500</v>
      </c>
      <c r="C314" s="97">
        <v>1</v>
      </c>
      <c r="D314" s="97">
        <f t="shared" si="15"/>
        <v>293</v>
      </c>
      <c r="E314" s="97">
        <f t="shared" si="16"/>
        <v>0</v>
      </c>
      <c r="F314" s="97">
        <f t="shared" ref="F314:F331" si="17">B314*(D314-E314)</f>
        <v>-22121500</v>
      </c>
      <c r="G314" s="97"/>
    </row>
    <row r="315" spans="1:11">
      <c r="A315" s="97" t="s">
        <v>5075</v>
      </c>
      <c r="B315" s="111">
        <v>-331250</v>
      </c>
      <c r="C315" s="97">
        <v>2</v>
      </c>
      <c r="D315" s="97">
        <f t="shared" si="15"/>
        <v>292</v>
      </c>
      <c r="E315" s="97">
        <f t="shared" si="16"/>
        <v>0</v>
      </c>
      <c r="F315" s="97">
        <f t="shared" si="17"/>
        <v>-96725000</v>
      </c>
      <c r="G315" s="97"/>
    </row>
    <row r="316" spans="1:11">
      <c r="A316" s="97" t="s">
        <v>5101</v>
      </c>
      <c r="B316" s="111">
        <v>-39000</v>
      </c>
      <c r="C316" s="97">
        <v>1</v>
      </c>
      <c r="D316" s="97">
        <f t="shared" si="15"/>
        <v>290</v>
      </c>
      <c r="E316" s="97">
        <f t="shared" si="16"/>
        <v>0</v>
      </c>
      <c r="F316" s="97">
        <f t="shared" si="17"/>
        <v>-11310000</v>
      </c>
      <c r="G316" s="97"/>
      <c r="I316" s="112"/>
    </row>
    <row r="317" spans="1:11">
      <c r="A317" s="97" t="s">
        <v>5077</v>
      </c>
      <c r="B317" s="111">
        <v>-44000</v>
      </c>
      <c r="C317" s="97">
        <v>3</v>
      </c>
      <c r="D317" s="97">
        <f t="shared" si="15"/>
        <v>289</v>
      </c>
      <c r="E317" s="97">
        <f t="shared" si="16"/>
        <v>0</v>
      </c>
      <c r="F317" s="97">
        <f t="shared" si="17"/>
        <v>-12716000</v>
      </c>
      <c r="G317" s="97"/>
      <c r="J317" t="s">
        <v>25</v>
      </c>
    </row>
    <row r="318" spans="1:11">
      <c r="A318" s="97" t="s">
        <v>5024</v>
      </c>
      <c r="B318" s="111">
        <v>-30476</v>
      </c>
      <c r="C318" s="97">
        <v>1</v>
      </c>
      <c r="D318" s="97">
        <f t="shared" si="15"/>
        <v>286</v>
      </c>
      <c r="E318" s="97">
        <f t="shared" si="16"/>
        <v>0</v>
      </c>
      <c r="F318" s="97">
        <f t="shared" si="17"/>
        <v>-8716136</v>
      </c>
      <c r="G318" s="97"/>
    </row>
    <row r="319" spans="1:11">
      <c r="A319" s="97" t="s">
        <v>5082</v>
      </c>
      <c r="B319" s="111">
        <v>-4000</v>
      </c>
      <c r="C319" s="97">
        <v>11</v>
      </c>
      <c r="D319" s="97">
        <f t="shared" ref="D319:D326" si="18">D320+C319</f>
        <v>285</v>
      </c>
      <c r="E319" s="97">
        <f t="shared" ref="E319:E326" si="19">IF(B320&gt;0,1,0)</f>
        <v>1</v>
      </c>
      <c r="F319" s="97">
        <f t="shared" si="17"/>
        <v>-1136000</v>
      </c>
      <c r="G319" s="97"/>
    </row>
    <row r="320" spans="1:11">
      <c r="A320" s="97" t="s">
        <v>5102</v>
      </c>
      <c r="B320" s="111">
        <v>6300000</v>
      </c>
      <c r="C320" s="97">
        <v>1</v>
      </c>
      <c r="D320" s="97">
        <f t="shared" si="18"/>
        <v>274</v>
      </c>
      <c r="E320" s="97">
        <f t="shared" si="19"/>
        <v>0</v>
      </c>
      <c r="F320" s="97">
        <f t="shared" si="17"/>
        <v>1726200000</v>
      </c>
      <c r="G320" s="97"/>
    </row>
    <row r="321" spans="1:9">
      <c r="A321" s="97" t="s">
        <v>5124</v>
      </c>
      <c r="B321" s="111">
        <v>-6000000</v>
      </c>
      <c r="C321" s="97">
        <v>2</v>
      </c>
      <c r="D321" s="97">
        <f t="shared" si="18"/>
        <v>273</v>
      </c>
      <c r="E321" s="97">
        <f t="shared" si="19"/>
        <v>0</v>
      </c>
      <c r="F321" s="97">
        <f t="shared" si="17"/>
        <v>-1638000000</v>
      </c>
      <c r="G321" s="97"/>
    </row>
    <row r="322" spans="1:9">
      <c r="A322" s="97" t="s">
        <v>5123</v>
      </c>
      <c r="B322" s="111">
        <v>-295000</v>
      </c>
      <c r="C322" s="97">
        <v>0</v>
      </c>
      <c r="D322" s="97">
        <f t="shared" si="18"/>
        <v>271</v>
      </c>
      <c r="E322" s="97">
        <f t="shared" si="19"/>
        <v>1</v>
      </c>
      <c r="F322" s="97">
        <f t="shared" si="17"/>
        <v>-79650000</v>
      </c>
      <c r="G322" s="97"/>
    </row>
    <row r="323" spans="1:9">
      <c r="A323" s="97" t="s">
        <v>5123</v>
      </c>
      <c r="B323" s="111">
        <v>483</v>
      </c>
      <c r="C323" s="97">
        <v>8</v>
      </c>
      <c r="D323" s="97">
        <f t="shared" si="18"/>
        <v>271</v>
      </c>
      <c r="E323" s="97">
        <f t="shared" si="19"/>
        <v>1</v>
      </c>
      <c r="F323" s="97">
        <f t="shared" si="17"/>
        <v>130410</v>
      </c>
      <c r="G323" s="97" t="s">
        <v>688</v>
      </c>
      <c r="I323" t="s">
        <v>25</v>
      </c>
    </row>
    <row r="324" spans="1:9">
      <c r="A324" s="97" t="s">
        <v>5141</v>
      </c>
      <c r="B324" s="111">
        <v>1700000</v>
      </c>
      <c r="C324" s="97">
        <v>0</v>
      </c>
      <c r="D324" s="97">
        <f t="shared" si="18"/>
        <v>263</v>
      </c>
      <c r="E324" s="97">
        <f t="shared" si="19"/>
        <v>0</v>
      </c>
      <c r="F324" s="97">
        <f t="shared" si="17"/>
        <v>447100000</v>
      </c>
      <c r="G324" s="97"/>
    </row>
    <row r="325" spans="1:9">
      <c r="A325" s="97" t="s">
        <v>5141</v>
      </c>
      <c r="B325" s="111">
        <v>-53000</v>
      </c>
      <c r="C325" s="97">
        <v>1</v>
      </c>
      <c r="D325" s="97">
        <f t="shared" si="18"/>
        <v>263</v>
      </c>
      <c r="E325" s="97">
        <f t="shared" si="19"/>
        <v>0</v>
      </c>
      <c r="F325" s="97">
        <f t="shared" si="17"/>
        <v>-13939000</v>
      </c>
      <c r="G325" s="97"/>
    </row>
    <row r="326" spans="1:9">
      <c r="A326" s="97" t="s">
        <v>5142</v>
      </c>
      <c r="B326" s="111">
        <v>-1300000</v>
      </c>
      <c r="C326" s="97">
        <v>0</v>
      </c>
      <c r="D326" s="97">
        <f t="shared" si="18"/>
        <v>262</v>
      </c>
      <c r="E326" s="97">
        <f t="shared" si="19"/>
        <v>0</v>
      </c>
      <c r="F326" s="97">
        <f t="shared" si="17"/>
        <v>-340600000</v>
      </c>
      <c r="G326" s="97"/>
      <c r="I326" t="s">
        <v>25</v>
      </c>
    </row>
    <row r="327" spans="1:9">
      <c r="A327" s="97" t="s">
        <v>5142</v>
      </c>
      <c r="B327" s="111">
        <v>-41500</v>
      </c>
      <c r="C327" s="97">
        <v>1</v>
      </c>
      <c r="D327" s="97">
        <f t="shared" ref="D327:D333" si="20">D328+C327</f>
        <v>262</v>
      </c>
      <c r="E327" s="97">
        <f t="shared" ref="E327:E333" si="21">IF(B328&gt;0,1,0)</f>
        <v>0</v>
      </c>
      <c r="F327" s="97">
        <f t="shared" si="17"/>
        <v>-10873000</v>
      </c>
      <c r="G327" s="97"/>
    </row>
    <row r="328" spans="1:9">
      <c r="A328" s="97" t="s">
        <v>5145</v>
      </c>
      <c r="B328" s="111">
        <v>-57700</v>
      </c>
      <c r="C328" s="97">
        <v>3</v>
      </c>
      <c r="D328" s="97">
        <f t="shared" si="20"/>
        <v>261</v>
      </c>
      <c r="E328" s="97">
        <f t="shared" si="21"/>
        <v>0</v>
      </c>
      <c r="F328" s="97">
        <f t="shared" si="17"/>
        <v>-15059700</v>
      </c>
      <c r="G328" s="97"/>
    </row>
    <row r="329" spans="1:9">
      <c r="A329" s="97" t="s">
        <v>5148</v>
      </c>
      <c r="B329" s="111">
        <v>-5600</v>
      </c>
      <c r="C329" s="97">
        <v>1</v>
      </c>
      <c r="D329" s="97">
        <f t="shared" si="20"/>
        <v>258</v>
      </c>
      <c r="E329" s="97">
        <f t="shared" si="21"/>
        <v>0</v>
      </c>
      <c r="F329" s="97">
        <f t="shared" si="17"/>
        <v>-1444800</v>
      </c>
      <c r="G329" s="97"/>
    </row>
    <row r="330" spans="1:9">
      <c r="A330" s="97" t="s">
        <v>5149</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5158</v>
      </c>
      <c r="B333" s="111">
        <v>-78508</v>
      </c>
      <c r="C333" s="97">
        <v>2</v>
      </c>
      <c r="D333" s="97">
        <f t="shared" si="20"/>
        <v>253</v>
      </c>
      <c r="E333" s="97">
        <f t="shared" si="21"/>
        <v>0</v>
      </c>
      <c r="F333" s="97">
        <f>B333*(D333-E333)</f>
        <v>-19862524</v>
      </c>
      <c r="G333" s="97"/>
    </row>
    <row r="334" spans="1:9">
      <c r="A334" s="97" t="s">
        <v>5159</v>
      </c>
      <c r="B334" s="111">
        <v>-2000</v>
      </c>
      <c r="C334" s="97">
        <v>4</v>
      </c>
      <c r="D334" s="97">
        <f t="shared" ref="D334:D352" si="22">D335+C334</f>
        <v>251</v>
      </c>
      <c r="E334" s="97">
        <f t="shared" ref="E334:E352" si="23">IF(B335&gt;0,1,0)</f>
        <v>1</v>
      </c>
      <c r="F334" s="97">
        <f t="shared" ref="F334:F352" si="24">B334*(D334-E334)</f>
        <v>-500000</v>
      </c>
      <c r="G334" s="97"/>
    </row>
    <row r="335" spans="1:9">
      <c r="A335" s="97" t="s">
        <v>5162</v>
      </c>
      <c r="B335" s="111">
        <v>2200472</v>
      </c>
      <c r="C335" s="97">
        <v>1</v>
      </c>
      <c r="D335" s="97">
        <f t="shared" si="22"/>
        <v>247</v>
      </c>
      <c r="E335" s="97">
        <f t="shared" si="23"/>
        <v>0</v>
      </c>
      <c r="F335" s="97">
        <f t="shared" si="24"/>
        <v>543516584</v>
      </c>
      <c r="G335" s="97"/>
      <c r="H335" t="s">
        <v>25</v>
      </c>
    </row>
    <row r="336" spans="1:9">
      <c r="A336" s="97" t="s">
        <v>5168</v>
      </c>
      <c r="B336" s="111">
        <v>-28000</v>
      </c>
      <c r="C336" s="97">
        <v>2</v>
      </c>
      <c r="D336" s="97">
        <f t="shared" si="22"/>
        <v>246</v>
      </c>
      <c r="E336" s="97">
        <f t="shared" si="23"/>
        <v>1</v>
      </c>
      <c r="F336" s="97">
        <f t="shared" si="24"/>
        <v>-6860000</v>
      </c>
      <c r="G336" s="97"/>
    </row>
    <row r="337" spans="1:13">
      <c r="A337" s="97" t="s">
        <v>5167</v>
      </c>
      <c r="B337" s="111">
        <v>2500000</v>
      </c>
      <c r="C337" s="97">
        <v>0</v>
      </c>
      <c r="D337" s="97">
        <f t="shared" si="22"/>
        <v>244</v>
      </c>
      <c r="E337" s="97">
        <f t="shared" si="23"/>
        <v>0</v>
      </c>
      <c r="F337" s="97">
        <f t="shared" si="24"/>
        <v>610000000</v>
      </c>
      <c r="G337" s="97"/>
    </row>
    <row r="338" spans="1:13">
      <c r="A338" s="97" t="s">
        <v>5167</v>
      </c>
      <c r="B338" s="111">
        <v>-407500</v>
      </c>
      <c r="C338" s="97">
        <v>2</v>
      </c>
      <c r="D338" s="97">
        <f t="shared" si="22"/>
        <v>244</v>
      </c>
      <c r="E338" s="97">
        <f t="shared" si="23"/>
        <v>0</v>
      </c>
      <c r="F338" s="97">
        <f t="shared" si="24"/>
        <v>-99430000</v>
      </c>
      <c r="G338" s="97"/>
    </row>
    <row r="339" spans="1:13">
      <c r="A339" s="97" t="s">
        <v>5169</v>
      </c>
      <c r="B339" s="111">
        <v>-3600</v>
      </c>
      <c r="C339" s="97">
        <v>1</v>
      </c>
      <c r="D339" s="97">
        <f t="shared" si="22"/>
        <v>242</v>
      </c>
      <c r="E339" s="97">
        <f t="shared" si="23"/>
        <v>0</v>
      </c>
      <c r="F339" s="97">
        <f t="shared" si="24"/>
        <v>-871200</v>
      </c>
      <c r="G339" s="97"/>
    </row>
    <row r="340" spans="1:13">
      <c r="A340" s="97" t="s">
        <v>5173</v>
      </c>
      <c r="B340" s="111">
        <v>-170094</v>
      </c>
      <c r="C340" s="97">
        <v>1</v>
      </c>
      <c r="D340" s="97">
        <f t="shared" si="22"/>
        <v>241</v>
      </c>
      <c r="E340" s="97">
        <f t="shared" si="23"/>
        <v>0</v>
      </c>
      <c r="F340" s="97">
        <f t="shared" si="24"/>
        <v>-40992654</v>
      </c>
      <c r="G340" s="97"/>
      <c r="J340" t="s">
        <v>25</v>
      </c>
    </row>
    <row r="341" spans="1:13">
      <c r="A341" s="97" t="s">
        <v>5170</v>
      </c>
      <c r="B341" s="111">
        <v>-51730</v>
      </c>
      <c r="C341" s="97">
        <v>1</v>
      </c>
      <c r="D341" s="97">
        <f t="shared" si="22"/>
        <v>240</v>
      </c>
      <c r="E341" s="97">
        <f t="shared" si="23"/>
        <v>0</v>
      </c>
      <c r="F341" s="97">
        <f t="shared" si="24"/>
        <v>-12415200</v>
      </c>
      <c r="G341" s="97"/>
    </row>
    <row r="342" spans="1:13">
      <c r="A342" s="97" t="s">
        <v>5174</v>
      </c>
      <c r="B342" s="111">
        <v>-200000</v>
      </c>
      <c r="C342" s="97">
        <v>2</v>
      </c>
      <c r="D342" s="97">
        <f t="shared" si="22"/>
        <v>239</v>
      </c>
      <c r="E342" s="97">
        <f t="shared" si="23"/>
        <v>0</v>
      </c>
      <c r="F342" s="97">
        <f t="shared" si="24"/>
        <v>-47800000</v>
      </c>
      <c r="G342" s="97"/>
    </row>
    <row r="343" spans="1:13">
      <c r="A343" s="97" t="s">
        <v>5140</v>
      </c>
      <c r="B343" s="111">
        <v>-3000000</v>
      </c>
      <c r="C343" s="97">
        <v>0</v>
      </c>
      <c r="D343" s="97">
        <f t="shared" si="22"/>
        <v>237</v>
      </c>
      <c r="E343" s="97">
        <f t="shared" si="23"/>
        <v>0</v>
      </c>
      <c r="F343" s="97">
        <f t="shared" si="24"/>
        <v>-711000000</v>
      </c>
      <c r="G343" s="97"/>
    </row>
    <row r="344" spans="1:13">
      <c r="A344" s="97" t="s">
        <v>5140</v>
      </c>
      <c r="B344" s="111">
        <v>-39726</v>
      </c>
      <c r="C344" s="97">
        <v>1</v>
      </c>
      <c r="D344" s="97">
        <f t="shared" si="22"/>
        <v>237</v>
      </c>
      <c r="E344" s="97">
        <f t="shared" si="23"/>
        <v>0</v>
      </c>
      <c r="F344" s="97">
        <f t="shared" si="24"/>
        <v>-9415062</v>
      </c>
      <c r="G344" s="97"/>
      <c r="M344" t="s">
        <v>25</v>
      </c>
    </row>
    <row r="345" spans="1:13">
      <c r="A345" s="97" t="s">
        <v>5176</v>
      </c>
      <c r="B345" s="111">
        <v>-566500</v>
      </c>
      <c r="C345" s="97">
        <v>1</v>
      </c>
      <c r="D345" s="97">
        <f t="shared" si="22"/>
        <v>236</v>
      </c>
      <c r="E345" s="97">
        <f t="shared" si="23"/>
        <v>0</v>
      </c>
      <c r="F345" s="97">
        <f t="shared" si="24"/>
        <v>-133694000</v>
      </c>
      <c r="G345" s="97"/>
      <c r="K345" t="s">
        <v>25</v>
      </c>
    </row>
    <row r="346" spans="1:13">
      <c r="A346" s="97" t="s">
        <v>5177</v>
      </c>
      <c r="B346" s="111">
        <v>-300000</v>
      </c>
      <c r="C346" s="97">
        <v>22</v>
      </c>
      <c r="D346" s="97">
        <f t="shared" si="22"/>
        <v>235</v>
      </c>
      <c r="E346" s="97">
        <f t="shared" si="23"/>
        <v>1</v>
      </c>
      <c r="F346" s="97">
        <f t="shared" si="24"/>
        <v>-70200000</v>
      </c>
      <c r="G346" s="97"/>
      <c r="J346" t="s">
        <v>25</v>
      </c>
    </row>
    <row r="347" spans="1:13">
      <c r="A347" s="97" t="s">
        <v>5197</v>
      </c>
      <c r="B347" s="111">
        <v>700000</v>
      </c>
      <c r="C347" s="97">
        <v>1</v>
      </c>
      <c r="D347" s="97">
        <f t="shared" si="22"/>
        <v>213</v>
      </c>
      <c r="E347" s="97">
        <f t="shared" si="23"/>
        <v>0</v>
      </c>
      <c r="F347" s="97">
        <f t="shared" si="24"/>
        <v>149100000</v>
      </c>
      <c r="G347" s="97"/>
    </row>
    <row r="348" spans="1:13">
      <c r="A348" s="97" t="s">
        <v>5200</v>
      </c>
      <c r="B348" s="111">
        <v>-101000</v>
      </c>
      <c r="C348" s="97">
        <v>1</v>
      </c>
      <c r="D348" s="97">
        <f t="shared" si="22"/>
        <v>212</v>
      </c>
      <c r="E348" s="97">
        <f t="shared" si="23"/>
        <v>0</v>
      </c>
      <c r="F348" s="97">
        <f t="shared" si="24"/>
        <v>-21412000</v>
      </c>
      <c r="G348" s="97"/>
    </row>
    <row r="349" spans="1:13">
      <c r="A349" s="97" t="s">
        <v>5200</v>
      </c>
      <c r="B349" s="111">
        <v>-57245</v>
      </c>
      <c r="C349" s="97">
        <v>1</v>
      </c>
      <c r="D349" s="97">
        <f t="shared" si="22"/>
        <v>211</v>
      </c>
      <c r="E349" s="97">
        <f t="shared" si="23"/>
        <v>0</v>
      </c>
      <c r="F349" s="97">
        <f t="shared" si="24"/>
        <v>-12078695</v>
      </c>
      <c r="G349" s="97"/>
    </row>
    <row r="350" spans="1:13">
      <c r="A350" s="97" t="s">
        <v>5202</v>
      </c>
      <c r="B350" s="111">
        <v>-398700</v>
      </c>
      <c r="C350" s="97">
        <v>2</v>
      </c>
      <c r="D350" s="97">
        <f t="shared" si="22"/>
        <v>210</v>
      </c>
      <c r="E350" s="97">
        <f t="shared" si="23"/>
        <v>0</v>
      </c>
      <c r="F350" s="97">
        <f t="shared" si="24"/>
        <v>-83727000</v>
      </c>
      <c r="G350" s="97"/>
    </row>
    <row r="351" spans="1:13">
      <c r="A351" s="97" t="s">
        <v>5201</v>
      </c>
      <c r="B351" s="111">
        <v>-87010</v>
      </c>
      <c r="C351" s="97">
        <v>5</v>
      </c>
      <c r="D351" s="97">
        <f t="shared" si="22"/>
        <v>208</v>
      </c>
      <c r="E351" s="97">
        <f t="shared" si="23"/>
        <v>0</v>
      </c>
      <c r="F351" s="97">
        <f t="shared" si="24"/>
        <v>-18098080</v>
      </c>
      <c r="G351" s="97"/>
    </row>
    <row r="352" spans="1:13">
      <c r="A352" s="97" t="s">
        <v>5231</v>
      </c>
      <c r="B352" s="111">
        <v>-50000</v>
      </c>
      <c r="C352" s="97">
        <v>28</v>
      </c>
      <c r="D352" s="97">
        <f t="shared" si="22"/>
        <v>203</v>
      </c>
      <c r="E352" s="97">
        <f t="shared" si="23"/>
        <v>1</v>
      </c>
      <c r="F352" s="97">
        <f t="shared" si="24"/>
        <v>-10100000</v>
      </c>
      <c r="G352" s="97"/>
    </row>
    <row r="353" spans="1:12">
      <c r="A353" s="97" t="s">
        <v>5230</v>
      </c>
      <c r="B353" s="111">
        <v>1200000</v>
      </c>
      <c r="C353" s="97">
        <v>0</v>
      </c>
      <c r="D353" s="97">
        <f t="shared" ref="D353:D365" si="25">D354+C353</f>
        <v>175</v>
      </c>
      <c r="E353" s="97">
        <f t="shared" ref="E353:E365" si="26">IF(B354&gt;0,1,0)</f>
        <v>0</v>
      </c>
      <c r="F353" s="97">
        <f t="shared" ref="F353:F365" si="27">B353*(D353-E353)</f>
        <v>210000000</v>
      </c>
      <c r="G353" s="97"/>
    </row>
    <row r="354" spans="1:12">
      <c r="A354" s="97" t="s">
        <v>5230</v>
      </c>
      <c r="B354" s="111">
        <v>-367300</v>
      </c>
      <c r="C354" s="97">
        <v>1</v>
      </c>
      <c r="D354" s="97">
        <f t="shared" si="25"/>
        <v>175</v>
      </c>
      <c r="E354" s="97">
        <f t="shared" si="26"/>
        <v>0</v>
      </c>
      <c r="F354" s="97">
        <f t="shared" si="27"/>
        <v>-64277500</v>
      </c>
      <c r="G354" s="97"/>
    </row>
    <row r="355" spans="1:12">
      <c r="A355" s="97" t="s">
        <v>5232</v>
      </c>
      <c r="B355" s="111">
        <v>-104894</v>
      </c>
      <c r="C355" s="97">
        <v>1</v>
      </c>
      <c r="D355" s="97">
        <f t="shared" si="25"/>
        <v>174</v>
      </c>
      <c r="E355" s="97">
        <f t="shared" si="26"/>
        <v>0</v>
      </c>
      <c r="F355" s="97">
        <f t="shared" si="27"/>
        <v>-18251556</v>
      </c>
      <c r="G355" s="97"/>
    </row>
    <row r="356" spans="1:12">
      <c r="A356" s="97" t="s">
        <v>5233</v>
      </c>
      <c r="B356" s="111">
        <v>-688700</v>
      </c>
      <c r="C356" s="97">
        <v>0</v>
      </c>
      <c r="D356" s="97">
        <f t="shared" si="25"/>
        <v>173</v>
      </c>
      <c r="E356" s="97">
        <f t="shared" si="26"/>
        <v>0</v>
      </c>
      <c r="F356" s="97">
        <f t="shared" si="27"/>
        <v>-119145100</v>
      </c>
      <c r="G356" s="97"/>
    </row>
    <row r="357" spans="1:12">
      <c r="A357" s="97" t="s">
        <v>5233</v>
      </c>
      <c r="B357" s="111">
        <v>-8321</v>
      </c>
      <c r="C357" s="97">
        <v>5</v>
      </c>
      <c r="D357" s="97">
        <f t="shared" si="25"/>
        <v>173</v>
      </c>
      <c r="E357" s="97">
        <f t="shared" si="26"/>
        <v>1</v>
      </c>
      <c r="F357" s="97">
        <f t="shared" si="27"/>
        <v>-1431212</v>
      </c>
      <c r="G357" s="97"/>
      <c r="J357" t="s">
        <v>25</v>
      </c>
    </row>
    <row r="358" spans="1:12">
      <c r="A358" s="97" t="s">
        <v>5243</v>
      </c>
      <c r="B358" s="111">
        <v>1000000</v>
      </c>
      <c r="C358" s="97">
        <v>0</v>
      </c>
      <c r="D358" s="97">
        <f t="shared" si="25"/>
        <v>168</v>
      </c>
      <c r="E358" s="97">
        <f t="shared" si="26"/>
        <v>0</v>
      </c>
      <c r="F358" s="97">
        <f t="shared" si="27"/>
        <v>168000000</v>
      </c>
      <c r="G358" s="97"/>
    </row>
    <row r="359" spans="1:12">
      <c r="A359" s="97" t="s">
        <v>5243</v>
      </c>
      <c r="B359" s="111">
        <v>-127644</v>
      </c>
      <c r="C359" s="97">
        <v>1</v>
      </c>
      <c r="D359" s="97">
        <f t="shared" si="25"/>
        <v>168</v>
      </c>
      <c r="E359" s="97">
        <f t="shared" si="26"/>
        <v>0</v>
      </c>
      <c r="F359" s="97">
        <f t="shared" si="27"/>
        <v>-21444192</v>
      </c>
      <c r="G359" s="97"/>
    </row>
    <row r="360" spans="1:12">
      <c r="A360" s="97" t="s">
        <v>5244</v>
      </c>
      <c r="B360" s="111">
        <v>-418000</v>
      </c>
      <c r="C360" s="97">
        <v>4</v>
      </c>
      <c r="D360" s="97">
        <f t="shared" si="25"/>
        <v>167</v>
      </c>
      <c r="E360" s="97">
        <f t="shared" si="26"/>
        <v>0</v>
      </c>
      <c r="F360" s="97">
        <f t="shared" si="27"/>
        <v>-69806000</v>
      </c>
      <c r="G360" s="97"/>
    </row>
    <row r="361" spans="1:12">
      <c r="A361" s="97" t="s">
        <v>5248</v>
      </c>
      <c r="B361" s="111">
        <v>-183136</v>
      </c>
      <c r="C361" s="97">
        <v>2</v>
      </c>
      <c r="D361" s="97">
        <f t="shared" si="25"/>
        <v>163</v>
      </c>
      <c r="E361" s="97">
        <f t="shared" si="26"/>
        <v>0</v>
      </c>
      <c r="F361" s="97">
        <f t="shared" si="27"/>
        <v>-29851168</v>
      </c>
      <c r="G361" s="97"/>
      <c r="L361" t="s">
        <v>25</v>
      </c>
    </row>
    <row r="362" spans="1:12">
      <c r="A362" s="97" t="s">
        <v>5269</v>
      </c>
      <c r="B362" s="111">
        <v>-18600</v>
      </c>
      <c r="C362" s="97">
        <v>2</v>
      </c>
      <c r="D362" s="97">
        <f t="shared" si="25"/>
        <v>161</v>
      </c>
      <c r="E362" s="97">
        <f t="shared" si="26"/>
        <v>0</v>
      </c>
      <c r="F362" s="97">
        <f t="shared" si="27"/>
        <v>-2994600</v>
      </c>
      <c r="G362" s="97"/>
    </row>
    <row r="363" spans="1:12">
      <c r="A363" s="97" t="s">
        <v>5254</v>
      </c>
      <c r="B363" s="111">
        <v>-90000</v>
      </c>
      <c r="C363" s="97">
        <v>1</v>
      </c>
      <c r="D363" s="97">
        <f t="shared" si="25"/>
        <v>159</v>
      </c>
      <c r="E363" s="97">
        <f t="shared" si="26"/>
        <v>0</v>
      </c>
      <c r="F363" s="97">
        <f t="shared" si="27"/>
        <v>-14310000</v>
      </c>
      <c r="G363" s="97"/>
    </row>
    <row r="364" spans="1:12">
      <c r="A364" s="97" t="s">
        <v>5255</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5258</v>
      </c>
      <c r="B368" s="111">
        <v>3500000</v>
      </c>
      <c r="C368" s="97">
        <v>3</v>
      </c>
      <c r="D368" s="97">
        <f t="shared" si="28"/>
        <v>156</v>
      </c>
      <c r="E368" s="97">
        <f t="shared" si="29"/>
        <v>0</v>
      </c>
      <c r="F368" s="97">
        <f t="shared" si="30"/>
        <v>546000000</v>
      </c>
      <c r="G368" s="97"/>
    </row>
    <row r="369" spans="1:11">
      <c r="A369" s="97" t="s">
        <v>5260</v>
      </c>
      <c r="B369" s="111">
        <v>-93800</v>
      </c>
      <c r="C369" s="97">
        <v>1</v>
      </c>
      <c r="D369" s="97">
        <f t="shared" si="28"/>
        <v>153</v>
      </c>
      <c r="E369" s="97">
        <f t="shared" si="29"/>
        <v>0</v>
      </c>
      <c r="F369" s="97">
        <f t="shared" si="30"/>
        <v>-14351400</v>
      </c>
      <c r="G369" s="97"/>
    </row>
    <row r="370" spans="1:11">
      <c r="A370" s="97" t="s">
        <v>5262</v>
      </c>
      <c r="B370" s="111">
        <v>-815500</v>
      </c>
      <c r="C370" s="97">
        <v>1</v>
      </c>
      <c r="D370" s="97">
        <f t="shared" si="28"/>
        <v>152</v>
      </c>
      <c r="E370" s="97">
        <f t="shared" si="29"/>
        <v>0</v>
      </c>
      <c r="F370" s="97">
        <f t="shared" si="30"/>
        <v>-123956000</v>
      </c>
      <c r="G370" s="97"/>
    </row>
    <row r="371" spans="1:11">
      <c r="A371" s="97" t="s">
        <v>5265</v>
      </c>
      <c r="B371" s="111">
        <v>-2096840</v>
      </c>
      <c r="C371" s="97">
        <v>0</v>
      </c>
      <c r="D371" s="97">
        <f t="shared" si="28"/>
        <v>151</v>
      </c>
      <c r="E371" s="97">
        <f t="shared" si="29"/>
        <v>1</v>
      </c>
      <c r="F371" s="97">
        <f t="shared" si="30"/>
        <v>-314526000</v>
      </c>
      <c r="G371" s="97"/>
    </row>
    <row r="372" spans="1:11">
      <c r="A372" s="97" t="s">
        <v>5265</v>
      </c>
      <c r="B372" s="111">
        <v>533</v>
      </c>
      <c r="C372" s="97">
        <v>1</v>
      </c>
      <c r="D372" s="97">
        <f t="shared" si="28"/>
        <v>151</v>
      </c>
      <c r="E372" s="97">
        <f t="shared" si="29"/>
        <v>1</v>
      </c>
      <c r="F372" s="97">
        <f t="shared" si="30"/>
        <v>79950</v>
      </c>
      <c r="G372" s="97"/>
      <c r="J372" t="s">
        <v>25</v>
      </c>
    </row>
    <row r="373" spans="1:11">
      <c r="A373" s="97" t="s">
        <v>5267</v>
      </c>
      <c r="B373" s="111">
        <v>4100000</v>
      </c>
      <c r="C373" s="97">
        <v>1</v>
      </c>
      <c r="D373" s="97">
        <f t="shared" si="28"/>
        <v>150</v>
      </c>
      <c r="E373" s="97">
        <f t="shared" si="29"/>
        <v>0</v>
      </c>
      <c r="F373" s="97">
        <f t="shared" si="30"/>
        <v>615000000</v>
      </c>
      <c r="G373" s="97"/>
    </row>
    <row r="374" spans="1:11">
      <c r="A374" s="97" t="s">
        <v>5270</v>
      </c>
      <c r="B374" s="111">
        <v>-3642549</v>
      </c>
      <c r="C374" s="97">
        <v>3</v>
      </c>
      <c r="D374" s="97">
        <f t="shared" si="28"/>
        <v>149</v>
      </c>
      <c r="E374" s="97">
        <f t="shared" si="29"/>
        <v>0</v>
      </c>
      <c r="F374" s="97">
        <f t="shared" si="30"/>
        <v>-542739801</v>
      </c>
      <c r="G374" s="97"/>
    </row>
    <row r="375" spans="1:11">
      <c r="A375" s="97" t="s">
        <v>5279</v>
      </c>
      <c r="B375" s="111">
        <v>-317091</v>
      </c>
      <c r="C375" s="97">
        <v>1</v>
      </c>
      <c r="D375" s="97">
        <f t="shared" si="28"/>
        <v>146</v>
      </c>
      <c r="E375" s="97">
        <f t="shared" si="29"/>
        <v>0</v>
      </c>
      <c r="F375" s="97">
        <f t="shared" si="30"/>
        <v>-46295286</v>
      </c>
      <c r="G375" s="97"/>
    </row>
    <row r="376" spans="1:11">
      <c r="A376" s="97" t="s">
        <v>5272</v>
      </c>
      <c r="B376" s="111">
        <v>-1600000</v>
      </c>
      <c r="C376" s="97">
        <v>1</v>
      </c>
      <c r="D376" s="97">
        <f t="shared" si="28"/>
        <v>145</v>
      </c>
      <c r="E376" s="97">
        <f t="shared" si="29"/>
        <v>0</v>
      </c>
      <c r="F376" s="97">
        <f t="shared" si="30"/>
        <v>-232000000</v>
      </c>
      <c r="G376" s="97"/>
    </row>
    <row r="377" spans="1:11">
      <c r="A377" s="97" t="s">
        <v>5274</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5349</v>
      </c>
      <c r="B379" s="111">
        <v>10000000</v>
      </c>
      <c r="C379" s="97">
        <v>0</v>
      </c>
      <c r="D379" s="97">
        <f t="shared" si="31"/>
        <v>121</v>
      </c>
      <c r="E379" s="97">
        <f t="shared" si="32"/>
        <v>0</v>
      </c>
      <c r="F379" s="97">
        <f t="shared" si="33"/>
        <v>1210000000</v>
      </c>
      <c r="G379" s="97"/>
    </row>
    <row r="380" spans="1:11">
      <c r="A380" s="97" t="s">
        <v>5349</v>
      </c>
      <c r="B380" s="111">
        <v>-3000000</v>
      </c>
      <c r="C380" s="97">
        <v>0</v>
      </c>
      <c r="D380" s="97">
        <f t="shared" si="31"/>
        <v>121</v>
      </c>
      <c r="E380" s="97">
        <f t="shared" si="32"/>
        <v>0</v>
      </c>
      <c r="F380" s="97">
        <f t="shared" si="33"/>
        <v>-363000000</v>
      </c>
      <c r="G380" s="97"/>
    </row>
    <row r="381" spans="1:11">
      <c r="A381" s="97" t="s">
        <v>5349</v>
      </c>
      <c r="B381" s="111">
        <v>-3971300</v>
      </c>
      <c r="C381" s="97">
        <v>7</v>
      </c>
      <c r="D381" s="97">
        <f t="shared" si="31"/>
        <v>121</v>
      </c>
      <c r="E381" s="97">
        <f t="shared" si="32"/>
        <v>0</v>
      </c>
      <c r="F381" s="97">
        <f t="shared" si="33"/>
        <v>-480527300</v>
      </c>
      <c r="G381" s="97"/>
    </row>
    <row r="382" spans="1:11">
      <c r="A382" s="97" t="s">
        <v>5368</v>
      </c>
      <c r="B382" s="111">
        <v>-2472422</v>
      </c>
      <c r="C382" s="97">
        <v>2</v>
      </c>
      <c r="D382" s="97">
        <f t="shared" si="31"/>
        <v>114</v>
      </c>
      <c r="E382" s="97">
        <f t="shared" si="32"/>
        <v>0</v>
      </c>
      <c r="F382" s="97">
        <f t="shared" si="33"/>
        <v>-281856108</v>
      </c>
      <c r="G382" s="97"/>
    </row>
    <row r="383" spans="1:11">
      <c r="A383" s="97" t="s">
        <v>5392</v>
      </c>
      <c r="B383" s="111">
        <v>-345000</v>
      </c>
      <c r="C383" s="97">
        <v>1</v>
      </c>
      <c r="D383" s="97">
        <f t="shared" si="31"/>
        <v>112</v>
      </c>
      <c r="E383" s="97">
        <f t="shared" si="32"/>
        <v>0</v>
      </c>
      <c r="F383" s="97">
        <f t="shared" si="33"/>
        <v>-38640000</v>
      </c>
      <c r="G383" s="97"/>
    </row>
    <row r="384" spans="1:11">
      <c r="A384" s="97" t="s">
        <v>5393</v>
      </c>
      <c r="B384" s="111">
        <v>-200000</v>
      </c>
      <c r="C384" s="97">
        <v>10</v>
      </c>
      <c r="D384" s="97">
        <f t="shared" si="31"/>
        <v>111</v>
      </c>
      <c r="E384" s="97">
        <f t="shared" si="32"/>
        <v>1</v>
      </c>
      <c r="F384" s="97">
        <f t="shared" si="33"/>
        <v>-22000000</v>
      </c>
      <c r="G384" s="97"/>
    </row>
    <row r="385" spans="1:10">
      <c r="A385" s="97" t="s">
        <v>5388</v>
      </c>
      <c r="B385" s="111">
        <v>800000</v>
      </c>
      <c r="C385" s="97">
        <v>0</v>
      </c>
      <c r="D385" s="97">
        <f t="shared" si="31"/>
        <v>101</v>
      </c>
      <c r="E385" s="97">
        <f t="shared" si="32"/>
        <v>0</v>
      </c>
      <c r="F385" s="97">
        <f t="shared" si="33"/>
        <v>80800000</v>
      </c>
      <c r="G385" s="97"/>
    </row>
    <row r="386" spans="1:10">
      <c r="A386" s="97" t="s">
        <v>5388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5394</v>
      </c>
      <c r="B389" s="111">
        <v>8000000</v>
      </c>
      <c r="C389" s="97">
        <v>1</v>
      </c>
      <c r="D389" s="97">
        <f t="shared" si="31"/>
        <v>99</v>
      </c>
      <c r="E389" s="97">
        <f t="shared" si="32"/>
        <v>0</v>
      </c>
      <c r="F389" s="97">
        <f t="shared" si="33"/>
        <v>792000000</v>
      </c>
      <c r="G389" s="97"/>
    </row>
    <row r="390" spans="1:10">
      <c r="A390" s="97" t="s">
        <v>5395</v>
      </c>
      <c r="B390" s="111">
        <v>-10000</v>
      </c>
      <c r="C390" s="97">
        <v>1</v>
      </c>
      <c r="D390" s="97">
        <f t="shared" si="31"/>
        <v>98</v>
      </c>
      <c r="E390" s="97">
        <f t="shared" si="32"/>
        <v>0</v>
      </c>
      <c r="F390" s="97">
        <f t="shared" si="33"/>
        <v>-980000</v>
      </c>
      <c r="G390" s="97"/>
    </row>
    <row r="391" spans="1:10">
      <c r="A391" s="97" t="s">
        <v>5396</v>
      </c>
      <c r="B391" s="111">
        <v>-88000</v>
      </c>
      <c r="C391" s="97">
        <v>1</v>
      </c>
      <c r="D391" s="97">
        <f t="shared" si="31"/>
        <v>97</v>
      </c>
      <c r="E391" s="97">
        <f t="shared" si="32"/>
        <v>0</v>
      </c>
      <c r="F391" s="97">
        <f t="shared" si="33"/>
        <v>-8536000</v>
      </c>
      <c r="G391" s="97"/>
    </row>
    <row r="392" spans="1:10">
      <c r="A392" s="97" t="s">
        <v>5397</v>
      </c>
      <c r="B392" s="111">
        <v>-297675</v>
      </c>
      <c r="C392" s="97">
        <v>3</v>
      </c>
      <c r="D392" s="97">
        <f t="shared" si="31"/>
        <v>96</v>
      </c>
      <c r="E392" s="97">
        <f t="shared" si="32"/>
        <v>0</v>
      </c>
      <c r="F392" s="97">
        <f t="shared" si="33"/>
        <v>-28576800</v>
      </c>
      <c r="G392" s="97"/>
    </row>
    <row r="393" spans="1:10">
      <c r="A393" s="97" t="s">
        <v>5389</v>
      </c>
      <c r="B393" s="111">
        <v>-10114121</v>
      </c>
      <c r="C393" s="97">
        <v>1</v>
      </c>
      <c r="D393" s="97">
        <f t="shared" si="31"/>
        <v>93</v>
      </c>
      <c r="E393" s="97">
        <f t="shared" si="32"/>
        <v>0</v>
      </c>
      <c r="F393" s="97">
        <f t="shared" si="33"/>
        <v>-940613253</v>
      </c>
      <c r="G393" s="97"/>
    </row>
    <row r="394" spans="1:10">
      <c r="A394" s="97" t="s">
        <v>5390</v>
      </c>
      <c r="B394" s="111">
        <v>-9000000</v>
      </c>
      <c r="C394" s="97">
        <v>1</v>
      </c>
      <c r="D394" s="97">
        <f t="shared" si="31"/>
        <v>92</v>
      </c>
      <c r="E394" s="97">
        <f t="shared" si="32"/>
        <v>0</v>
      </c>
      <c r="F394" s="97">
        <f t="shared" si="33"/>
        <v>-828000000</v>
      </c>
      <c r="G394" s="97"/>
      <c r="J394" s="112">
        <f>B422-743653+21500</f>
        <v>3919446</v>
      </c>
    </row>
    <row r="395" spans="1:10">
      <c r="A395" s="97" t="s">
        <v>5398</v>
      </c>
      <c r="B395" s="111">
        <v>-83930</v>
      </c>
      <c r="C395" s="97">
        <v>1</v>
      </c>
      <c r="D395" s="97">
        <f t="shared" si="31"/>
        <v>91</v>
      </c>
      <c r="E395" s="97">
        <f t="shared" si="32"/>
        <v>0</v>
      </c>
      <c r="F395" s="97">
        <f t="shared" si="33"/>
        <v>-7637630</v>
      </c>
      <c r="G395" s="97"/>
    </row>
    <row r="396" spans="1:10">
      <c r="A396" s="97" t="s">
        <v>5399</v>
      </c>
      <c r="B396" s="111">
        <v>-19520</v>
      </c>
      <c r="C396" s="97">
        <v>0</v>
      </c>
      <c r="D396" s="97">
        <f t="shared" si="31"/>
        <v>90</v>
      </c>
      <c r="E396" s="97">
        <f t="shared" si="32"/>
        <v>0</v>
      </c>
      <c r="F396" s="97">
        <f t="shared" si="33"/>
        <v>-1756800</v>
      </c>
      <c r="G396" s="97"/>
    </row>
    <row r="397" spans="1:10">
      <c r="A397" s="97" t="s">
        <v>5399</v>
      </c>
      <c r="B397" s="111">
        <v>-676034</v>
      </c>
      <c r="C397" s="97">
        <v>27</v>
      </c>
      <c r="D397" s="97">
        <f t="shared" si="31"/>
        <v>90</v>
      </c>
      <c r="E397" s="97">
        <f t="shared" si="32"/>
        <v>1</v>
      </c>
      <c r="F397" s="97">
        <f t="shared" si="33"/>
        <v>-60167026</v>
      </c>
      <c r="G397" s="97"/>
    </row>
    <row r="398" spans="1:10">
      <c r="A398" s="97" t="s">
        <v>5428</v>
      </c>
      <c r="B398" s="111">
        <v>2200000</v>
      </c>
      <c r="C398" s="97">
        <v>2</v>
      </c>
      <c r="D398" s="97">
        <f t="shared" si="31"/>
        <v>63</v>
      </c>
      <c r="E398" s="97">
        <f t="shared" si="32"/>
        <v>0</v>
      </c>
      <c r="F398" s="97">
        <f t="shared" si="33"/>
        <v>138600000</v>
      </c>
      <c r="G398" s="97"/>
    </row>
    <row r="399" spans="1:10">
      <c r="A399" s="97" t="s">
        <v>5433</v>
      </c>
      <c r="B399" s="111">
        <v>-2000000</v>
      </c>
      <c r="C399" s="97">
        <v>1</v>
      </c>
      <c r="D399" s="97">
        <f t="shared" si="31"/>
        <v>61</v>
      </c>
      <c r="E399" s="97">
        <f t="shared" si="32"/>
        <v>0</v>
      </c>
      <c r="F399" s="97">
        <f t="shared" si="33"/>
        <v>-122000000</v>
      </c>
      <c r="G399" s="97"/>
    </row>
    <row r="400" spans="1:10">
      <c r="A400" s="97" t="s">
        <v>5434</v>
      </c>
      <c r="B400" s="111">
        <v>-28400</v>
      </c>
      <c r="C400" s="97">
        <v>1</v>
      </c>
      <c r="D400" s="97">
        <f t="shared" si="31"/>
        <v>60</v>
      </c>
      <c r="E400" s="97">
        <f t="shared" si="32"/>
        <v>0</v>
      </c>
      <c r="F400" s="97">
        <f t="shared" si="33"/>
        <v>-1704000</v>
      </c>
      <c r="G400" s="97"/>
    </row>
    <row r="401" spans="1:15">
      <c r="A401" s="97" t="s">
        <v>5436</v>
      </c>
      <c r="B401" s="111">
        <v>-126475</v>
      </c>
      <c r="C401" s="97">
        <v>1</v>
      </c>
      <c r="D401" s="97">
        <f t="shared" si="31"/>
        <v>59</v>
      </c>
      <c r="E401" s="97">
        <f t="shared" si="32"/>
        <v>0</v>
      </c>
      <c r="F401" s="97">
        <f t="shared" si="33"/>
        <v>-7462025</v>
      </c>
      <c r="G401" s="97"/>
    </row>
    <row r="402" spans="1:15">
      <c r="A402" s="97" t="s">
        <v>5435</v>
      </c>
      <c r="B402" s="111">
        <v>-32807</v>
      </c>
      <c r="C402" s="97">
        <v>4</v>
      </c>
      <c r="D402" s="97">
        <f t="shared" si="31"/>
        <v>58</v>
      </c>
      <c r="E402" s="97">
        <f t="shared" si="32"/>
        <v>0</v>
      </c>
      <c r="F402" s="97">
        <f t="shared" si="33"/>
        <v>-1902806</v>
      </c>
      <c r="G402" s="97"/>
    </row>
    <row r="403" spans="1:15">
      <c r="A403" s="97" t="s">
        <v>5439</v>
      </c>
      <c r="B403" s="111">
        <v>-11700</v>
      </c>
      <c r="C403" s="97">
        <v>7</v>
      </c>
      <c r="D403" s="97">
        <f t="shared" si="31"/>
        <v>54</v>
      </c>
      <c r="E403" s="97">
        <f t="shared" si="32"/>
        <v>1</v>
      </c>
      <c r="F403" s="97">
        <f t="shared" si="33"/>
        <v>-620100</v>
      </c>
      <c r="G403" s="97"/>
    </row>
    <row r="404" spans="1:15">
      <c r="A404" s="97" t="s">
        <v>5448</v>
      </c>
      <c r="B404" s="111">
        <v>5032773</v>
      </c>
      <c r="C404" s="97">
        <v>0</v>
      </c>
      <c r="D404" s="97">
        <f t="shared" si="31"/>
        <v>47</v>
      </c>
      <c r="E404" s="97">
        <f t="shared" si="32"/>
        <v>0</v>
      </c>
      <c r="F404" s="97">
        <f t="shared" si="33"/>
        <v>236540331</v>
      </c>
      <c r="G404" s="97"/>
    </row>
    <row r="405" spans="1:15">
      <c r="A405" s="97" t="s">
        <v>5448</v>
      </c>
      <c r="B405" s="111">
        <v>-5000000</v>
      </c>
      <c r="C405" s="97">
        <v>13</v>
      </c>
      <c r="D405" s="97">
        <f t="shared" si="31"/>
        <v>47</v>
      </c>
      <c r="E405" s="97">
        <f t="shared" si="32"/>
        <v>1</v>
      </c>
      <c r="F405" s="97">
        <f t="shared" si="33"/>
        <v>-230000000</v>
      </c>
      <c r="G405" s="97"/>
    </row>
    <row r="406" spans="1:15">
      <c r="A406" s="97" t="s">
        <v>5484</v>
      </c>
      <c r="B406" s="111">
        <v>1200000</v>
      </c>
      <c r="C406" s="97">
        <v>1</v>
      </c>
      <c r="D406" s="97">
        <f t="shared" si="31"/>
        <v>34</v>
      </c>
      <c r="E406" s="97">
        <f t="shared" si="32"/>
        <v>0</v>
      </c>
      <c r="F406" s="97">
        <f t="shared" si="33"/>
        <v>40800000</v>
      </c>
      <c r="G406" s="97"/>
    </row>
    <row r="407" spans="1:15">
      <c r="A407" s="97" t="s">
        <v>5465</v>
      </c>
      <c r="B407" s="111">
        <v>-1200000</v>
      </c>
      <c r="C407" s="97">
        <v>0</v>
      </c>
      <c r="D407" s="97">
        <f t="shared" si="31"/>
        <v>33</v>
      </c>
      <c r="E407" s="97">
        <f t="shared" si="32"/>
        <v>0</v>
      </c>
      <c r="F407" s="97">
        <f t="shared" si="33"/>
        <v>-39600000</v>
      </c>
      <c r="G407" s="97"/>
      <c r="O407" t="s">
        <v>25</v>
      </c>
    </row>
    <row r="408" spans="1:15">
      <c r="A408" s="97" t="s">
        <v>5465</v>
      </c>
      <c r="B408" s="111">
        <v>-784</v>
      </c>
      <c r="C408" s="97">
        <v>1</v>
      </c>
      <c r="D408" s="97">
        <f t="shared" si="31"/>
        <v>33</v>
      </c>
      <c r="E408" s="97">
        <f t="shared" si="32"/>
        <v>0</v>
      </c>
      <c r="F408" s="97">
        <f t="shared" si="33"/>
        <v>-25872</v>
      </c>
      <c r="G408" s="97" t="s">
        <v>5485</v>
      </c>
    </row>
    <row r="409" spans="1:15">
      <c r="A409" s="97" t="s">
        <v>5523</v>
      </c>
      <c r="B409" s="111">
        <v>-37927</v>
      </c>
      <c r="C409" s="97">
        <v>30</v>
      </c>
      <c r="D409" s="97">
        <f t="shared" si="31"/>
        <v>32</v>
      </c>
      <c r="E409" s="97">
        <f t="shared" si="32"/>
        <v>1</v>
      </c>
      <c r="F409" s="97">
        <f t="shared" si="33"/>
        <v>-1175737</v>
      </c>
      <c r="G409" s="97"/>
    </row>
    <row r="410" spans="1:15">
      <c r="A410" s="97" t="s">
        <v>5525</v>
      </c>
      <c r="B410" s="111">
        <v>5000000</v>
      </c>
      <c r="C410" s="97">
        <v>0</v>
      </c>
      <c r="D410" s="97">
        <f t="shared" si="31"/>
        <v>2</v>
      </c>
      <c r="E410" s="97">
        <f t="shared" si="32"/>
        <v>0</v>
      </c>
      <c r="F410" s="97">
        <f t="shared" si="33"/>
        <v>10000000</v>
      </c>
      <c r="G410" s="97"/>
    </row>
    <row r="411" spans="1:15">
      <c r="A411" s="97" t="s">
        <v>5525</v>
      </c>
      <c r="B411" s="111">
        <v>-1620700</v>
      </c>
      <c r="C411" s="97">
        <v>1</v>
      </c>
      <c r="D411" s="97">
        <f t="shared" si="31"/>
        <v>2</v>
      </c>
      <c r="E411" s="97">
        <f t="shared" si="32"/>
        <v>1</v>
      </c>
      <c r="F411" s="97">
        <f t="shared" si="33"/>
        <v>-1620700</v>
      </c>
      <c r="G411" s="97"/>
    </row>
    <row r="412" spans="1:15">
      <c r="A412" s="97" t="s">
        <v>5527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4671</v>
      </c>
      <c r="L15">
        <v>451474</v>
      </c>
      <c r="M15" s="237" t="s">
        <v>4817</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5818</v>
      </c>
      <c r="O19" t="s">
        <v>5817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5712</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5026</v>
      </c>
      <c r="L33" t="s">
        <v>5027</v>
      </c>
      <c r="M33" t="s">
        <v>5028</v>
      </c>
      <c r="N33" t="s">
        <v>5029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5031</v>
      </c>
      <c r="M34" t="s">
        <v>5032</v>
      </c>
      <c r="N34" t="s">
        <v>5030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4520</v>
      </c>
      <c r="B192" s="38">
        <v>100000</v>
      </c>
      <c r="C192" s="71" t="s">
        <v>3875</v>
      </c>
      <c r="D192" s="97">
        <v>87</v>
      </c>
      <c r="E192" s="97">
        <f t="shared" si="9"/>
        <v>88</v>
      </c>
      <c r="F192" s="97">
        <f t="shared" si="5"/>
        <v>1</v>
      </c>
      <c r="G192" s="97">
        <f t="shared" si="4"/>
        <v>8700000</v>
      </c>
    </row>
    <row r="193" spans="1:7">
      <c r="A193" s="11" t="s">
        <v>4773</v>
      </c>
      <c r="B193" s="38">
        <v>-25000</v>
      </c>
      <c r="C193" s="11" t="s">
        <v>4780</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28"/>
  <sheetViews>
    <sheetView tabSelected="1" topLeftCell="M145" zoomScale="80" zoomScaleNormal="80" workbookViewId="0">
      <selection activeCell="R178" sqref="R17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5019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30076489</v>
      </c>
      <c r="O20" s="97" t="s">
        <v>922</v>
      </c>
      <c r="P20" s="97" t="s">
        <v>3913</v>
      </c>
      <c r="Q20" s="167">
        <v>9268987</v>
      </c>
      <c r="R20" s="166" t="s">
        <v>4152</v>
      </c>
      <c r="S20" s="189">
        <f>S108</f>
        <v>934</v>
      </c>
      <c r="T20" s="166" t="s">
        <v>4283</v>
      </c>
      <c r="U20" s="166">
        <v>192.1</v>
      </c>
      <c r="V20" s="166">
        <f t="shared" ref="V20:V51" si="6">U20*(1+$R$104+$Q$15*S20/36500)</f>
        <v>332.65825424657532</v>
      </c>
      <c r="W20" s="32">
        <f t="shared" ref="W20:W26" si="7">V20*(1+$W$19/100)</f>
        <v>339.31141933150684</v>
      </c>
      <c r="X20" s="32">
        <f t="shared" ref="X20:X26" si="8">V20*(1+$X$19/100)</f>
        <v>345.96458441643836</v>
      </c>
      <c r="Y20" s="113">
        <v>48028</v>
      </c>
      <c r="Z20" s="113"/>
      <c r="AH20" s="97">
        <v>1</v>
      </c>
      <c r="AI20" s="111" t="s">
        <v>1092</v>
      </c>
      <c r="AJ20" s="111">
        <v>18000000</v>
      </c>
      <c r="AK20" s="97">
        <v>1</v>
      </c>
      <c r="AL20" s="97">
        <f>AL21+AK20</f>
        <v>1011</v>
      </c>
      <c r="AM20" s="111">
        <f>AJ20*AL20</f>
        <v>18198000000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-N33</f>
        <v>4913826178.2818222</v>
      </c>
      <c r="M21" s="166" t="s">
        <v>4275</v>
      </c>
      <c r="N21" s="111">
        <f>O21*P21</f>
        <v>2653738560</v>
      </c>
      <c r="O21" s="97">
        <v>2515392</v>
      </c>
      <c r="P21" s="183">
        <f>P48</f>
        <v>1055</v>
      </c>
      <c r="Q21" s="167">
        <v>1353959</v>
      </c>
      <c r="R21" s="166" t="s">
        <v>4391</v>
      </c>
      <c r="S21" s="196">
        <f>S20-59</f>
        <v>875</v>
      </c>
      <c r="T21" s="19" t="s">
        <v>4427</v>
      </c>
      <c r="U21" s="166">
        <v>192.2</v>
      </c>
      <c r="V21" s="166">
        <f t="shared" si="6"/>
        <v>324.13239890410961</v>
      </c>
      <c r="W21" s="32">
        <f t="shared" si="7"/>
        <v>330.61504688219179</v>
      </c>
      <c r="X21" s="32">
        <f t="shared" si="8"/>
        <v>337.09769486027398</v>
      </c>
      <c r="Y21" s="113">
        <v>7012</v>
      </c>
      <c r="Z21" s="113"/>
      <c r="AH21" s="97">
        <v>2</v>
      </c>
      <c r="AI21" s="111" t="s">
        <v>1094</v>
      </c>
      <c r="AJ21" s="111">
        <v>2500000</v>
      </c>
      <c r="AK21" s="97">
        <v>1</v>
      </c>
      <c r="AL21" s="97">
        <f t="shared" ref="AL21:AL63" si="9">AL22+AK21</f>
        <v>1010</v>
      </c>
      <c r="AM21" s="111">
        <f t="shared" ref="AM21:AM120" si="10">AJ21*AL21</f>
        <v>2525000000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5291</v>
      </c>
      <c r="N22" s="111">
        <f>O22*P22</f>
        <v>88559010</v>
      </c>
      <c r="O22" s="97">
        <v>69295</v>
      </c>
      <c r="P22" s="183">
        <f>P52</f>
        <v>1278</v>
      </c>
      <c r="Q22" s="167">
        <v>1614398</v>
      </c>
      <c r="R22" s="166" t="s">
        <v>4397</v>
      </c>
      <c r="S22" s="166">
        <f>S21-3</f>
        <v>872</v>
      </c>
      <c r="T22" s="19" t="s">
        <v>5640</v>
      </c>
      <c r="U22" s="166">
        <v>184.6</v>
      </c>
      <c r="V22" s="166">
        <f t="shared" si="6"/>
        <v>310.89067616438359</v>
      </c>
      <c r="W22" s="32">
        <f t="shared" si="7"/>
        <v>317.10848968767129</v>
      </c>
      <c r="X22" s="32">
        <f t="shared" si="8"/>
        <v>323.32630321095894</v>
      </c>
      <c r="Y22" s="113">
        <v>8705</v>
      </c>
      <c r="Z22" s="113"/>
      <c r="AH22" s="97">
        <v>3</v>
      </c>
      <c r="AI22" s="111" t="s">
        <v>1103</v>
      </c>
      <c r="AJ22" s="111">
        <v>8000000</v>
      </c>
      <c r="AK22" s="97">
        <v>1</v>
      </c>
      <c r="AL22" s="97">
        <f t="shared" si="9"/>
        <v>1009</v>
      </c>
      <c r="AM22" s="111">
        <f t="shared" si="10"/>
        <v>8072000000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5964</v>
      </c>
      <c r="N23" s="111">
        <f>O23*P23</f>
        <v>1489150</v>
      </c>
      <c r="O23" s="97">
        <v>754</v>
      </c>
      <c r="P23" s="183">
        <f>P49</f>
        <v>1975</v>
      </c>
      <c r="Q23" s="167">
        <v>133576</v>
      </c>
      <c r="R23" s="166" t="s">
        <v>4464</v>
      </c>
      <c r="S23" s="195">
        <f>S22-22</f>
        <v>850</v>
      </c>
      <c r="T23" s="166" t="s">
        <v>4465</v>
      </c>
      <c r="U23" s="166">
        <v>166.2</v>
      </c>
      <c r="V23" s="166">
        <f t="shared" si="6"/>
        <v>277.09774684931506</v>
      </c>
      <c r="W23" s="32">
        <f t="shared" si="7"/>
        <v>282.63970178630137</v>
      </c>
      <c r="X23" s="32">
        <f t="shared" si="8"/>
        <v>288.18165672328769</v>
      </c>
      <c r="Y23" s="120">
        <v>800</v>
      </c>
      <c r="Z23" s="94"/>
      <c r="AH23" s="97">
        <v>4</v>
      </c>
      <c r="AI23" s="111" t="s">
        <v>4038</v>
      </c>
      <c r="AJ23" s="111">
        <v>-79552</v>
      </c>
      <c r="AK23" s="97">
        <v>1</v>
      </c>
      <c r="AL23" s="97">
        <f t="shared" si="9"/>
        <v>1008</v>
      </c>
      <c r="AM23" s="111">
        <f t="shared" si="10"/>
        <v>-80188416</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L65</f>
        <v>5185478277.2818222</v>
      </c>
      <c r="G24" s="93">
        <f t="shared" si="0"/>
        <v>-4905171931.8998833</v>
      </c>
      <c r="H24" s="11"/>
      <c r="I24" s="94"/>
      <c r="J24" s="94"/>
      <c r="K24" s="210"/>
      <c r="L24" s="115"/>
      <c r="M24" s="210" t="s">
        <v>4357</v>
      </c>
      <c r="N24" s="111">
        <f>O24*P24</f>
        <v>30509150</v>
      </c>
      <c r="O24" s="97">
        <v>2135</v>
      </c>
      <c r="P24" s="183">
        <f>P46</f>
        <v>14290</v>
      </c>
      <c r="Q24" s="167">
        <v>220803</v>
      </c>
      <c r="R24" s="166" t="s">
        <v>4207</v>
      </c>
      <c r="S24" s="195">
        <f>S23-1</f>
        <v>849</v>
      </c>
      <c r="T24" s="166" t="s">
        <v>4471</v>
      </c>
      <c r="U24" s="166">
        <v>166</v>
      </c>
      <c r="V24" s="166">
        <f t="shared" si="6"/>
        <v>276.63695342465758</v>
      </c>
      <c r="W24" s="32">
        <f t="shared" si="7"/>
        <v>282.16969249315071</v>
      </c>
      <c r="X24" s="32">
        <f t="shared" si="8"/>
        <v>287.70243156164389</v>
      </c>
      <c r="Y24" s="120">
        <v>1326</v>
      </c>
      <c r="Z24" s="94"/>
      <c r="AH24" s="97">
        <v>5</v>
      </c>
      <c r="AI24" s="111" t="s">
        <v>1115</v>
      </c>
      <c r="AJ24" s="111">
        <v>165500</v>
      </c>
      <c r="AK24" s="97">
        <v>12</v>
      </c>
      <c r="AL24" s="97">
        <f t="shared" si="9"/>
        <v>1007</v>
      </c>
      <c r="AM24" s="111">
        <f t="shared" si="10"/>
        <v>166658500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10"/>
      <c r="L25" s="115"/>
      <c r="M25" s="210" t="s">
        <v>5929</v>
      </c>
      <c r="N25" s="111">
        <f>O25*P25</f>
        <v>42194680</v>
      </c>
      <c r="O25" s="97">
        <v>5641</v>
      </c>
      <c r="P25" s="183">
        <f>P50</f>
        <v>7480</v>
      </c>
      <c r="Q25" s="167">
        <v>1023940</v>
      </c>
      <c r="R25" s="166" t="s">
        <v>4472</v>
      </c>
      <c r="S25" s="195">
        <f>S24-2</f>
        <v>847</v>
      </c>
      <c r="T25" s="166" t="s">
        <v>4478</v>
      </c>
      <c r="U25" s="166">
        <v>160.19999999999999</v>
      </c>
      <c r="V25" s="166">
        <f t="shared" si="6"/>
        <v>266.72553863013701</v>
      </c>
      <c r="W25" s="32">
        <f t="shared" si="7"/>
        <v>272.06004940273976</v>
      </c>
      <c r="X25" s="32">
        <f t="shared" si="8"/>
        <v>277.39456017534252</v>
      </c>
      <c r="Y25" s="120">
        <v>6362</v>
      </c>
      <c r="Z25" s="94" t="s">
        <v>25</v>
      </c>
      <c r="AH25" s="97">
        <v>6</v>
      </c>
      <c r="AI25" s="111" t="s">
        <v>1140</v>
      </c>
      <c r="AJ25" s="111">
        <v>-28830327</v>
      </c>
      <c r="AK25" s="97">
        <v>6</v>
      </c>
      <c r="AL25" s="97">
        <f t="shared" si="9"/>
        <v>995</v>
      </c>
      <c r="AM25" s="111">
        <f t="shared" si="10"/>
        <v>-28686175365</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5980</v>
      </c>
      <c r="L26" s="115">
        <f>-'فروردین 98'!D168</f>
        <v>-57175686</v>
      </c>
      <c r="M26" s="166"/>
      <c r="N26" s="111"/>
      <c r="O26" s="67"/>
      <c r="P26" s="97"/>
      <c r="Q26" s="167">
        <v>168846</v>
      </c>
      <c r="R26" s="166" t="s">
        <v>3675</v>
      </c>
      <c r="S26" s="195">
        <f>S25-28</f>
        <v>819</v>
      </c>
      <c r="T26" s="166" t="s">
        <v>4556</v>
      </c>
      <c r="U26" s="166">
        <v>172.2</v>
      </c>
      <c r="V26" s="166">
        <f t="shared" si="6"/>
        <v>283.00621808219177</v>
      </c>
      <c r="W26" s="32">
        <f t="shared" si="7"/>
        <v>288.66634244383562</v>
      </c>
      <c r="X26" s="32">
        <f t="shared" si="8"/>
        <v>294.32646680547947</v>
      </c>
      <c r="Y26" s="120">
        <v>976</v>
      </c>
      <c r="Z26" s="94"/>
      <c r="AH26" s="97">
        <v>7</v>
      </c>
      <c r="AI26" s="111" t="s">
        <v>1165</v>
      </c>
      <c r="AJ26" s="111">
        <v>18500000</v>
      </c>
      <c r="AK26" s="97">
        <v>1</v>
      </c>
      <c r="AL26" s="97">
        <f t="shared" si="9"/>
        <v>989</v>
      </c>
      <c r="AM26" s="111">
        <f t="shared" si="10"/>
        <v>18296500000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1055</v>
      </c>
      <c r="O27" s="265"/>
      <c r="P27" s="97" t="s">
        <v>25</v>
      </c>
      <c r="Q27" s="167">
        <v>1563192</v>
      </c>
      <c r="R27" s="210" t="s">
        <v>4655</v>
      </c>
      <c r="S27" s="195">
        <f>S26-33</f>
        <v>786</v>
      </c>
      <c r="T27" s="210" t="s">
        <v>4656</v>
      </c>
      <c r="U27" s="210">
        <v>168.8</v>
      </c>
      <c r="V27" s="210">
        <f t="shared" si="6"/>
        <v>273.14522301369868</v>
      </c>
      <c r="W27" s="32">
        <f t="shared" ref="W27:W30" si="12">V27*(1+$W$19/100)</f>
        <v>278.60812747397267</v>
      </c>
      <c r="X27" s="32">
        <f t="shared" ref="X27:X30" si="13">V27*(1+$X$19/100)</f>
        <v>284.07103193424666</v>
      </c>
      <c r="Y27" s="120">
        <v>9222</v>
      </c>
      <c r="Z27" s="94"/>
      <c r="AH27" s="97">
        <v>8</v>
      </c>
      <c r="AI27" s="111" t="s">
        <v>1174</v>
      </c>
      <c r="AJ27" s="111">
        <v>-18550000</v>
      </c>
      <c r="AK27" s="97">
        <v>1</v>
      </c>
      <c r="AL27" s="97">
        <f t="shared" si="9"/>
        <v>988</v>
      </c>
      <c r="AM27" s="111">
        <f t="shared" si="10"/>
        <v>-18327400000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5291</v>
      </c>
      <c r="N28" s="111">
        <f>O28*P28</f>
        <v>34327080</v>
      </c>
      <c r="O28" s="67">
        <v>26860</v>
      </c>
      <c r="P28" s="97">
        <f>P52</f>
        <v>1278</v>
      </c>
      <c r="Q28" s="167">
        <v>1204691</v>
      </c>
      <c r="R28" s="210" t="s">
        <v>4869</v>
      </c>
      <c r="S28" s="195">
        <f>S27-76</f>
        <v>710</v>
      </c>
      <c r="T28" s="210" t="s">
        <v>4870</v>
      </c>
      <c r="U28" s="210">
        <v>218.5</v>
      </c>
      <c r="V28" s="210">
        <f t="shared" si="6"/>
        <v>340.82887123287674</v>
      </c>
      <c r="W28" s="32">
        <f t="shared" si="12"/>
        <v>347.6454486575343</v>
      </c>
      <c r="X28" s="32">
        <f t="shared" si="13"/>
        <v>354.46202608219181</v>
      </c>
      <c r="Y28" s="120">
        <v>5488</v>
      </c>
      <c r="Z28" s="94"/>
      <c r="AH28" s="97">
        <v>9</v>
      </c>
      <c r="AI28" s="111" t="s">
        <v>1181</v>
      </c>
      <c r="AJ28" s="111">
        <v>-64961</v>
      </c>
      <c r="AK28" s="97">
        <v>5</v>
      </c>
      <c r="AL28" s="97">
        <f t="shared" si="9"/>
        <v>987</v>
      </c>
      <c r="AM28" s="111">
        <f t="shared" si="10"/>
        <v>-64116507</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10"/>
      <c r="L29" s="115"/>
      <c r="M29" s="187" t="s">
        <v>4357</v>
      </c>
      <c r="N29" s="111">
        <f>O29*P29</f>
        <v>0</v>
      </c>
      <c r="O29" s="67">
        <v>0</v>
      </c>
      <c r="P29" s="97">
        <f>P46</f>
        <v>14290</v>
      </c>
      <c r="Q29" s="167">
        <v>15011877</v>
      </c>
      <c r="R29" s="210" t="s">
        <v>4872</v>
      </c>
      <c r="S29" s="195">
        <f>S28-3</f>
        <v>707</v>
      </c>
      <c r="T29" s="210" t="s">
        <v>4876</v>
      </c>
      <c r="U29" s="210">
        <v>197.1</v>
      </c>
      <c r="V29" s="210">
        <f t="shared" si="6"/>
        <v>306.99432000000002</v>
      </c>
      <c r="W29" s="32">
        <f t="shared" si="12"/>
        <v>313.13420640000004</v>
      </c>
      <c r="X29" s="32">
        <f t="shared" si="13"/>
        <v>319.27409280000001</v>
      </c>
      <c r="Y29" s="120">
        <v>75812</v>
      </c>
      <c r="Z29" s="94"/>
      <c r="AH29" s="97">
        <v>10</v>
      </c>
      <c r="AI29" s="111" t="s">
        <v>1197</v>
      </c>
      <c r="AJ29" s="111">
        <v>6400000</v>
      </c>
      <c r="AK29" s="97">
        <v>1</v>
      </c>
      <c r="AL29" s="97">
        <f t="shared" si="9"/>
        <v>982</v>
      </c>
      <c r="AM29" s="111">
        <f t="shared" si="10"/>
        <v>6284800000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904</v>
      </c>
      <c r="L30" s="115">
        <v>4800000</v>
      </c>
      <c r="M30" s="187" t="s">
        <v>4398</v>
      </c>
      <c r="N30" s="111">
        <f>O30*P30</f>
        <v>326402230</v>
      </c>
      <c r="O30" s="67">
        <v>309386</v>
      </c>
      <c r="P30" s="97">
        <f>P48</f>
        <v>1055</v>
      </c>
      <c r="Q30" s="167">
        <v>7046042.5001907032</v>
      </c>
      <c r="R30" s="210" t="s">
        <v>4884</v>
      </c>
      <c r="S30" s="195">
        <f>S29-5</f>
        <v>702</v>
      </c>
      <c r="T30" s="210" t="s">
        <v>5605</v>
      </c>
      <c r="U30" s="210">
        <v>194.4</v>
      </c>
      <c r="V30" s="210">
        <f t="shared" si="6"/>
        <v>302.04327452054793</v>
      </c>
      <c r="W30" s="32">
        <f t="shared" si="12"/>
        <v>308.08414001095889</v>
      </c>
      <c r="X30" s="32">
        <f t="shared" si="13"/>
        <v>314.12500550136986</v>
      </c>
      <c r="Y30" s="120">
        <v>36073</v>
      </c>
      <c r="Z30" s="94"/>
      <c r="AH30" s="97">
        <v>11</v>
      </c>
      <c r="AI30" s="111" t="s">
        <v>4039</v>
      </c>
      <c r="AJ30" s="111">
        <v>-170000</v>
      </c>
      <c r="AK30" s="97">
        <v>5</v>
      </c>
      <c r="AL30" s="97">
        <f t="shared" si="9"/>
        <v>981</v>
      </c>
      <c r="AM30" s="111">
        <f t="shared" si="10"/>
        <v>-166770000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c r="L31" s="115"/>
      <c r="M31" s="166"/>
      <c r="N31" s="111"/>
      <c r="P31" t="s">
        <v>25</v>
      </c>
      <c r="Q31" s="167">
        <v>5368238</v>
      </c>
      <c r="R31" s="210" t="s">
        <v>5612</v>
      </c>
      <c r="S31" s="195">
        <f>S30-465</f>
        <v>237</v>
      </c>
      <c r="T31" s="210" t="s">
        <v>5613</v>
      </c>
      <c r="U31" s="210">
        <v>1843</v>
      </c>
      <c r="V31" s="210">
        <f t="shared" si="6"/>
        <v>2206.0861479452055</v>
      </c>
      <c r="W31" s="32">
        <f t="shared" ref="W31:W34" si="14">V31*(1+$W$19/100)</f>
        <v>2250.2078709041098</v>
      </c>
      <c r="X31" s="32">
        <f t="shared" ref="X31:X34" si="15">V31*(1+$X$19/100)</f>
        <v>2294.329593863014</v>
      </c>
      <c r="Y31">
        <v>2902</v>
      </c>
      <c r="AA31" s="94"/>
      <c r="AH31" s="97">
        <v>12</v>
      </c>
      <c r="AI31" s="111" t="s">
        <v>1217</v>
      </c>
      <c r="AJ31" s="111">
        <v>-6300000</v>
      </c>
      <c r="AK31" s="97">
        <v>1</v>
      </c>
      <c r="AL31" s="97">
        <f>AL32+AK31</f>
        <v>976</v>
      </c>
      <c r="AM31" s="111">
        <f t="shared" si="10"/>
        <v>-6148800000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t="s">
        <v>1070</v>
      </c>
      <c r="L32" s="115">
        <f>'خرید و فروش سکه فیزیکی'!M48*10*P53</f>
        <v>0</v>
      </c>
      <c r="M32" s="166" t="s">
        <v>749</v>
      </c>
      <c r="N32" s="111">
        <v>3000000</v>
      </c>
      <c r="P32" t="s">
        <v>25</v>
      </c>
      <c r="Q32" s="167">
        <v>40195775</v>
      </c>
      <c r="R32" s="210" t="s">
        <v>5614</v>
      </c>
      <c r="S32" s="195">
        <f>S31-3</f>
        <v>234</v>
      </c>
      <c r="T32" s="210" t="s">
        <v>5615</v>
      </c>
      <c r="U32" s="210">
        <v>1751</v>
      </c>
      <c r="V32" s="210">
        <f t="shared" si="6"/>
        <v>2091.9316931506851</v>
      </c>
      <c r="W32" s="32">
        <f t="shared" si="14"/>
        <v>2133.770327013699</v>
      </c>
      <c r="X32" s="32">
        <f t="shared" si="15"/>
        <v>2175.6089608767124</v>
      </c>
      <c r="Y32">
        <v>22871</v>
      </c>
      <c r="AH32" s="97">
        <v>13</v>
      </c>
      <c r="AI32" s="111" t="s">
        <v>1226</v>
      </c>
      <c r="AJ32" s="111">
        <v>-52015</v>
      </c>
      <c r="AK32" s="97">
        <v>16</v>
      </c>
      <c r="AL32" s="97">
        <f t="shared" si="9"/>
        <v>975</v>
      </c>
      <c r="AM32" s="111">
        <f t="shared" si="10"/>
        <v>-50714625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4935</v>
      </c>
      <c r="L33" s="115">
        <v>-47500000</v>
      </c>
      <c r="M33" s="166" t="s">
        <v>4131</v>
      </c>
      <c r="N33" s="111">
        <f>-W153</f>
        <v>-4913826178.2818222</v>
      </c>
      <c r="O33">
        <f>O24+413</f>
        <v>2548</v>
      </c>
      <c r="P33" t="s">
        <v>25</v>
      </c>
      <c r="Q33" s="167">
        <v>16176504</v>
      </c>
      <c r="R33" s="210" t="s">
        <v>5616</v>
      </c>
      <c r="S33" s="195">
        <f>S32-1</f>
        <v>233</v>
      </c>
      <c r="T33" s="210" t="s">
        <v>5617</v>
      </c>
      <c r="U33" s="210">
        <v>1730</v>
      </c>
      <c r="V33" s="210">
        <f t="shared" si="6"/>
        <v>2065.5157260273977</v>
      </c>
      <c r="W33" s="32">
        <f t="shared" si="14"/>
        <v>2106.8260405479459</v>
      </c>
      <c r="X33" s="32">
        <f t="shared" si="15"/>
        <v>2148.1363550684937</v>
      </c>
      <c r="Y33">
        <v>9316</v>
      </c>
      <c r="Z33" t="s">
        <v>25</v>
      </c>
      <c r="AA33" s="94"/>
      <c r="AH33" s="97">
        <v>14</v>
      </c>
      <c r="AI33" s="111" t="s">
        <v>3692</v>
      </c>
      <c r="AJ33" s="111">
        <v>20017400</v>
      </c>
      <c r="AK33" s="97">
        <v>0</v>
      </c>
      <c r="AL33" s="97">
        <f t="shared" si="9"/>
        <v>959</v>
      </c>
      <c r="AM33" s="111">
        <f t="shared" si="10"/>
        <v>19196686600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97"/>
      <c r="L34" s="97"/>
      <c r="M34" s="166" t="s">
        <v>746</v>
      </c>
      <c r="N34" s="111">
        <v>500000</v>
      </c>
      <c r="P34" t="s">
        <v>25</v>
      </c>
      <c r="Q34" s="167">
        <v>47880291</v>
      </c>
      <c r="R34" s="210" t="s">
        <v>5623</v>
      </c>
      <c r="S34" s="195">
        <f>S33-8</f>
        <v>225</v>
      </c>
      <c r="T34" s="210" t="s">
        <v>5627</v>
      </c>
      <c r="U34" s="210">
        <v>1737.1</v>
      </c>
      <c r="V34" s="210">
        <f t="shared" si="6"/>
        <v>2063.3321391780823</v>
      </c>
      <c r="W34" s="32">
        <f t="shared" si="14"/>
        <v>2104.5987819616439</v>
      </c>
      <c r="X34" s="32">
        <f t="shared" si="15"/>
        <v>2145.8654247452059</v>
      </c>
      <c r="Y34">
        <v>27461</v>
      </c>
      <c r="AA34" s="94"/>
      <c r="AH34" s="97">
        <v>15</v>
      </c>
      <c r="AI34" s="111" t="s">
        <v>3692</v>
      </c>
      <c r="AJ34" s="111">
        <v>1014466</v>
      </c>
      <c r="AK34" s="97">
        <v>12</v>
      </c>
      <c r="AL34" s="97">
        <f t="shared" si="9"/>
        <v>959</v>
      </c>
      <c r="AM34" s="111">
        <f t="shared" si="10"/>
        <v>972872894</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753</v>
      </c>
      <c r="N35" s="111">
        <v>1200000</v>
      </c>
      <c r="P35" t="s">
        <v>25</v>
      </c>
      <c r="Q35" s="167">
        <v>48859908</v>
      </c>
      <c r="R35" s="210" t="s">
        <v>5626</v>
      </c>
      <c r="S35" s="195">
        <f>S34-1</f>
        <v>224</v>
      </c>
      <c r="T35" s="210" t="s">
        <v>5630</v>
      </c>
      <c r="U35" s="210">
        <v>1730.1</v>
      </c>
      <c r="V35" s="210">
        <f t="shared" si="6"/>
        <v>2053.6903200000002</v>
      </c>
      <c r="W35" s="32">
        <f t="shared" ref="W35:W36" si="16">V35*(1+$W$19/100)</f>
        <v>2094.7641264000004</v>
      </c>
      <c r="X35" s="32">
        <f t="shared" ref="X35:X36" si="17">V35*(1+$X$19/100)</f>
        <v>2135.8379328000001</v>
      </c>
      <c r="Y35">
        <v>28136</v>
      </c>
      <c r="Z35" t="s">
        <v>25</v>
      </c>
      <c r="AA35" s="94" t="s">
        <v>25</v>
      </c>
      <c r="AH35" s="97">
        <v>16</v>
      </c>
      <c r="AI35" s="111" t="s">
        <v>1128</v>
      </c>
      <c r="AJ35" s="111">
        <v>360000</v>
      </c>
      <c r="AK35" s="97">
        <v>2</v>
      </c>
      <c r="AL35" s="97">
        <f t="shared" si="9"/>
        <v>947</v>
      </c>
      <c r="AM35" s="111">
        <f t="shared" si="10"/>
        <v>340920000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t="s">
        <v>5909</v>
      </c>
      <c r="L36" s="115">
        <v>-202317100</v>
      </c>
      <c r="M36" s="71"/>
      <c r="N36" s="111"/>
      <c r="P36" t="s">
        <v>25</v>
      </c>
      <c r="Q36" s="167">
        <v>38191823</v>
      </c>
      <c r="R36" s="210" t="s">
        <v>5628</v>
      </c>
      <c r="S36" s="195">
        <f>S35-1</f>
        <v>223</v>
      </c>
      <c r="T36" s="210" t="s">
        <v>5629</v>
      </c>
      <c r="U36" s="210">
        <v>1646</v>
      </c>
      <c r="V36" s="210">
        <f t="shared" si="6"/>
        <v>1952.5979397260276</v>
      </c>
      <c r="W36" s="32">
        <f t="shared" si="16"/>
        <v>1991.649898520548</v>
      </c>
      <c r="X36" s="32">
        <f t="shared" si="17"/>
        <v>2030.7018573150688</v>
      </c>
      <c r="Y36">
        <v>23117</v>
      </c>
      <c r="AA36" s="94"/>
      <c r="AH36" s="97">
        <v>17</v>
      </c>
      <c r="AI36" s="111" t="s">
        <v>3752</v>
      </c>
      <c r="AJ36" s="111">
        <v>-350000</v>
      </c>
      <c r="AK36" s="97">
        <v>0</v>
      </c>
      <c r="AL36" s="97">
        <f t="shared" si="9"/>
        <v>945</v>
      </c>
      <c r="AM36" s="111">
        <f t="shared" si="10"/>
        <v>-330750000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f>SUM(L36:L38)</f>
        <v>-11939436</v>
      </c>
      <c r="K37" s="166" t="s">
        <v>5910</v>
      </c>
      <c r="L37" s="115">
        <v>5959954</v>
      </c>
      <c r="M37" s="166"/>
      <c r="N37" s="111"/>
      <c r="P37" t="s">
        <v>25</v>
      </c>
      <c r="Q37" s="167">
        <v>70173463</v>
      </c>
      <c r="R37" s="210" t="s">
        <v>5631</v>
      </c>
      <c r="S37" s="195">
        <f>S36-3</f>
        <v>220</v>
      </c>
      <c r="T37" s="210" t="s">
        <v>5635</v>
      </c>
      <c r="U37" s="210">
        <v>1674.7</v>
      </c>
      <c r="V37" s="210">
        <f t="shared" si="6"/>
        <v>1982.7897413698633</v>
      </c>
      <c r="W37" s="32">
        <f t="shared" ref="W37:W40" si="18">V37*(1+$W$19/100)</f>
        <v>2022.4455361972607</v>
      </c>
      <c r="X37" s="32">
        <f t="shared" ref="X37:X40" si="19">V37*(1+$X$19/100)</f>
        <v>2062.1013310246581</v>
      </c>
      <c r="Y37">
        <v>41747</v>
      </c>
      <c r="Z37" t="s">
        <v>25</v>
      </c>
      <c r="AA37" s="94"/>
      <c r="AH37" s="97">
        <v>18</v>
      </c>
      <c r="AI37" s="111" t="s">
        <v>3752</v>
      </c>
      <c r="AJ37" s="111">
        <v>1000</v>
      </c>
      <c r="AK37" s="97">
        <v>1</v>
      </c>
      <c r="AL37" s="97">
        <f t="shared" si="9"/>
        <v>945</v>
      </c>
      <c r="AM37" s="111">
        <f t="shared" si="10"/>
        <v>945000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t="s">
        <v>5911</v>
      </c>
      <c r="L38" s="115">
        <f>P48*136742+2810*P46</f>
        <v>184417710</v>
      </c>
      <c r="M38" s="166" t="s">
        <v>5359</v>
      </c>
      <c r="N38" s="111">
        <v>-14000000</v>
      </c>
      <c r="O38" t="s">
        <v>25</v>
      </c>
      <c r="P38" t="s">
        <v>25</v>
      </c>
      <c r="Q38" s="167">
        <v>23283294</v>
      </c>
      <c r="R38" s="210" t="s">
        <v>5633</v>
      </c>
      <c r="S38" s="195">
        <f>S37-2</f>
        <v>218</v>
      </c>
      <c r="T38" s="210" t="s">
        <v>5634</v>
      </c>
      <c r="U38" s="210">
        <v>1663</v>
      </c>
      <c r="V38" s="210">
        <f t="shared" si="6"/>
        <v>1966.3858739726029</v>
      </c>
      <c r="W38" s="32">
        <f t="shared" si="18"/>
        <v>2005.713591452055</v>
      </c>
      <c r="X38" s="32">
        <f t="shared" si="19"/>
        <v>2045.041308931507</v>
      </c>
      <c r="Y38">
        <v>13949</v>
      </c>
      <c r="Z38" t="s">
        <v>25</v>
      </c>
      <c r="AA38" s="94"/>
      <c r="AH38" s="97">
        <v>19</v>
      </c>
      <c r="AI38" s="111" t="s">
        <v>3756</v>
      </c>
      <c r="AJ38" s="111">
        <v>33610000</v>
      </c>
      <c r="AK38" s="97">
        <v>4</v>
      </c>
      <c r="AL38" s="97">
        <f t="shared" si="9"/>
        <v>944</v>
      </c>
      <c r="AM38" s="111">
        <f t="shared" si="10"/>
        <v>31727840000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4934</v>
      </c>
      <c r="N39" s="111">
        <v>-47000000</v>
      </c>
      <c r="O39" s="289"/>
      <c r="P39" s="94" t="s">
        <v>25</v>
      </c>
      <c r="Q39" s="167">
        <v>1611237.824</v>
      </c>
      <c r="R39" s="210" t="s">
        <v>5636</v>
      </c>
      <c r="S39" s="195">
        <f>S38-1</f>
        <v>217</v>
      </c>
      <c r="T39" s="210" t="s">
        <v>5641</v>
      </c>
      <c r="U39" s="210">
        <v>1580</v>
      </c>
      <c r="V39" s="210">
        <f t="shared" si="6"/>
        <v>1867.0318904109588</v>
      </c>
      <c r="W39" s="32">
        <f t="shared" si="18"/>
        <v>1904.3725282191781</v>
      </c>
      <c r="X39" s="32">
        <f t="shared" si="19"/>
        <v>1941.7131660273972</v>
      </c>
      <c r="Y39">
        <v>1016</v>
      </c>
      <c r="AA39" s="94" t="s">
        <v>25</v>
      </c>
      <c r="AB39" s="94"/>
      <c r="AC39" s="94"/>
      <c r="AD39" s="94"/>
      <c r="AH39" s="97">
        <v>20</v>
      </c>
      <c r="AI39" s="111" t="s">
        <v>4040</v>
      </c>
      <c r="AJ39" s="111">
        <v>-15600000</v>
      </c>
      <c r="AK39" s="97">
        <v>3</v>
      </c>
      <c r="AL39" s="97">
        <f t="shared" si="9"/>
        <v>940</v>
      </c>
      <c r="AM39" s="111">
        <f t="shared" si="10"/>
        <v>-14664000000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97"/>
      <c r="L40" s="115"/>
      <c r="M40" s="166"/>
      <c r="N40" s="111"/>
      <c r="O40" s="112"/>
      <c r="P40" s="94"/>
      <c r="Q40" s="167">
        <v>563902380</v>
      </c>
      <c r="R40" s="210" t="s">
        <v>5643</v>
      </c>
      <c r="S40" s="195">
        <f>S39-5</f>
        <v>212</v>
      </c>
      <c r="T40" s="210" t="s">
        <v>5645</v>
      </c>
      <c r="U40" s="210">
        <v>1560.1</v>
      </c>
      <c r="V40" s="210">
        <f t="shared" si="6"/>
        <v>1837.5327967123289</v>
      </c>
      <c r="W40" s="32">
        <f t="shared" si="18"/>
        <v>1874.2834526465756</v>
      </c>
      <c r="X40" s="32">
        <f t="shared" si="19"/>
        <v>1911.0341085808222</v>
      </c>
      <c r="Y40">
        <v>360127</v>
      </c>
      <c r="Z40" s="113"/>
      <c r="AB40" s="94"/>
      <c r="AC40" s="94"/>
      <c r="AD40" s="94"/>
      <c r="AH40" s="97">
        <v>21</v>
      </c>
      <c r="AI40" s="111" t="s">
        <v>3770</v>
      </c>
      <c r="AJ40" s="111">
        <v>7500000</v>
      </c>
      <c r="AK40" s="97">
        <v>4</v>
      </c>
      <c r="AL40" s="97">
        <f t="shared" si="9"/>
        <v>937</v>
      </c>
      <c r="AM40" s="111">
        <f t="shared" si="10"/>
        <v>7027500000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c r="L41" s="115"/>
      <c r="M41" s="166" t="s">
        <v>4417</v>
      </c>
      <c r="N41" s="111">
        <v>16478</v>
      </c>
      <c r="O41" s="112"/>
      <c r="P41" t="s">
        <v>25</v>
      </c>
      <c r="Q41" s="167">
        <v>814638349</v>
      </c>
      <c r="R41" s="210" t="s">
        <v>5650</v>
      </c>
      <c r="S41" s="195">
        <f>S40-8</f>
        <v>204</v>
      </c>
      <c r="T41" s="210" t="s">
        <v>5651</v>
      </c>
      <c r="U41" s="210">
        <v>1667</v>
      </c>
      <c r="V41" s="210">
        <f t="shared" si="6"/>
        <v>1953.2124821917807</v>
      </c>
      <c r="W41" s="32">
        <f t="shared" ref="W41:W42" si="20">V41*(1+$W$19/100)</f>
        <v>1992.2767318356164</v>
      </c>
      <c r="X41" s="32">
        <f t="shared" ref="X41:X42" si="21">V41*(1+$X$19/100)</f>
        <v>2031.340981479452</v>
      </c>
      <c r="Y41">
        <v>486878</v>
      </c>
      <c r="Z41" s="113"/>
      <c r="AB41" s="94"/>
      <c r="AC41" s="94"/>
      <c r="AD41" s="94"/>
      <c r="AH41" s="97">
        <v>22</v>
      </c>
      <c r="AI41" s="111" t="s">
        <v>4041</v>
      </c>
      <c r="AJ41" s="111">
        <v>-98000</v>
      </c>
      <c r="AK41" s="97">
        <v>1</v>
      </c>
      <c r="AL41" s="97">
        <f t="shared" si="9"/>
        <v>933</v>
      </c>
      <c r="AM41" s="111">
        <f t="shared" si="10"/>
        <v>-91434000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253"/>
      <c r="L42" s="115"/>
      <c r="M42" s="166"/>
      <c r="N42" s="111"/>
      <c r="O42" s="97"/>
      <c r="P42" s="97"/>
      <c r="Q42" s="167">
        <v>2537951</v>
      </c>
      <c r="R42" s="210" t="s">
        <v>5665</v>
      </c>
      <c r="S42" s="195">
        <f>S41-5</f>
        <v>199</v>
      </c>
      <c r="T42" s="210" t="s">
        <v>5666</v>
      </c>
      <c r="U42" s="210">
        <v>1768.2</v>
      </c>
      <c r="V42" s="210">
        <f t="shared" si="6"/>
        <v>2065.005692054795</v>
      </c>
      <c r="W42" s="32">
        <f t="shared" si="20"/>
        <v>2106.3058058958909</v>
      </c>
      <c r="X42" s="32">
        <f t="shared" si="21"/>
        <v>2147.6059197369868</v>
      </c>
      <c r="Y42">
        <v>1430</v>
      </c>
      <c r="Z42" s="113"/>
      <c r="AB42" s="113"/>
      <c r="AC42" s="113"/>
      <c r="AD42" s="113"/>
      <c r="AE42" s="113"/>
      <c r="AF42" s="113"/>
      <c r="AH42" s="97">
        <v>23</v>
      </c>
      <c r="AI42" s="111" t="s">
        <v>4035</v>
      </c>
      <c r="AJ42" s="111">
        <v>-26000000</v>
      </c>
      <c r="AK42" s="97">
        <v>0</v>
      </c>
      <c r="AL42" s="97">
        <f t="shared" si="9"/>
        <v>932</v>
      </c>
      <c r="AM42" s="111">
        <f t="shared" si="10"/>
        <v>-24232000000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36"/>
      <c r="L43" s="115"/>
      <c r="M43" s="21" t="s">
        <v>5794</v>
      </c>
      <c r="N43" s="115">
        <f>O43*P43</f>
        <v>49986955</v>
      </c>
      <c r="O43" s="67">
        <v>47381</v>
      </c>
      <c r="P43" s="67">
        <f>P48</f>
        <v>1055</v>
      </c>
      <c r="Q43" s="167">
        <v>2352469</v>
      </c>
      <c r="R43" s="210" t="s">
        <v>5671</v>
      </c>
      <c r="S43" s="195">
        <f>S42-2</f>
        <v>197</v>
      </c>
      <c r="T43" s="210" t="s">
        <v>5672</v>
      </c>
      <c r="U43" s="210">
        <v>15730</v>
      </c>
      <c r="V43" s="210">
        <f t="shared" si="6"/>
        <v>18346.265315068496</v>
      </c>
      <c r="W43" s="32">
        <f t="shared" ref="W43" si="22">V43*(1+$W$19/100)</f>
        <v>18713.190621369868</v>
      </c>
      <c r="X43" s="32">
        <f t="shared" ref="X43" si="23">V43*(1+$X$19/100)</f>
        <v>19080.115927671235</v>
      </c>
      <c r="Z43" s="120" t="s">
        <v>25</v>
      </c>
      <c r="AA43">
        <v>149</v>
      </c>
      <c r="AB43" s="113"/>
      <c r="AC43" s="113"/>
      <c r="AD43" s="113"/>
      <c r="AE43" s="113"/>
      <c r="AF43" s="113"/>
      <c r="AH43" s="97">
        <v>24</v>
      </c>
      <c r="AI43" s="111" t="s">
        <v>4035</v>
      </c>
      <c r="AJ43" s="111">
        <v>25000000</v>
      </c>
      <c r="AK43" s="97">
        <v>1</v>
      </c>
      <c r="AL43" s="97">
        <f t="shared" si="9"/>
        <v>932</v>
      </c>
      <c r="AM43" s="111">
        <f t="shared" si="10"/>
        <v>23300000000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5920</v>
      </c>
      <c r="N44" s="115">
        <f>O44*P44</f>
        <v>13230000</v>
      </c>
      <c r="O44" s="67">
        <v>27000</v>
      </c>
      <c r="P44" s="67">
        <v>490</v>
      </c>
      <c r="Q44" s="167"/>
      <c r="R44" s="210" t="s">
        <v>5675</v>
      </c>
      <c r="S44" s="195">
        <f>S43-1</f>
        <v>196</v>
      </c>
      <c r="T44" s="210" t="s">
        <v>5815</v>
      </c>
      <c r="U44" s="210">
        <v>16861.099999999999</v>
      </c>
      <c r="V44" s="210">
        <f t="shared" si="6"/>
        <v>19652.559043287671</v>
      </c>
      <c r="W44" s="32">
        <f t="shared" ref="W44:W46" si="24">V44*(1+$W$19/100)</f>
        <v>20045.610224153424</v>
      </c>
      <c r="X44" s="32">
        <f t="shared" ref="X44:X46" si="25">V44*(1+$X$19/100)</f>
        <v>20438.661405019178</v>
      </c>
      <c r="Y44" s="94"/>
      <c r="Z44" s="120"/>
      <c r="AA44" s="94">
        <v>851</v>
      </c>
      <c r="AB44" s="113"/>
      <c r="AC44" s="113"/>
      <c r="AD44" s="113" t="s">
        <v>25</v>
      </c>
      <c r="AE44" s="113"/>
      <c r="AF44" s="113"/>
      <c r="AH44" s="97">
        <v>25</v>
      </c>
      <c r="AI44" s="111" t="s">
        <v>4036</v>
      </c>
      <c r="AJ44" s="111">
        <v>110000</v>
      </c>
      <c r="AK44" s="97">
        <v>1</v>
      </c>
      <c r="AL44" s="97">
        <f t="shared" si="9"/>
        <v>931</v>
      </c>
      <c r="AM44" s="111">
        <f t="shared" si="10"/>
        <v>102410000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5790</v>
      </c>
      <c r="L45" s="115">
        <f>N43</f>
        <v>49986955</v>
      </c>
      <c r="M45" s="21" t="s">
        <v>5901</v>
      </c>
      <c r="N45" s="115">
        <f t="shared" ref="N45:N54" si="26">O45*P45</f>
        <v>11400000</v>
      </c>
      <c r="O45" s="67">
        <v>30000</v>
      </c>
      <c r="P45" s="67">
        <v>380</v>
      </c>
      <c r="Q45" s="167">
        <v>67414766</v>
      </c>
      <c r="R45" s="210" t="s">
        <v>5675</v>
      </c>
      <c r="S45" s="195">
        <f>S44</f>
        <v>196</v>
      </c>
      <c r="T45" s="210" t="s">
        <v>5682</v>
      </c>
      <c r="U45" s="210">
        <v>1582.3</v>
      </c>
      <c r="V45" s="210">
        <f t="shared" si="6"/>
        <v>1844.2595189041097</v>
      </c>
      <c r="W45" s="32">
        <f t="shared" si="24"/>
        <v>1881.1447092821918</v>
      </c>
      <c r="X45" s="32">
        <f t="shared" si="25"/>
        <v>1918.0298996602742</v>
      </c>
      <c r="Y45" s="94">
        <v>42448</v>
      </c>
      <c r="Z45" s="120"/>
      <c r="AB45" s="113"/>
      <c r="AC45" s="113" t="s">
        <v>25</v>
      </c>
      <c r="AD45" s="113" t="s">
        <v>25</v>
      </c>
      <c r="AE45" s="113"/>
      <c r="AF45" s="113" t="s">
        <v>25</v>
      </c>
      <c r="AH45" s="97">
        <v>26</v>
      </c>
      <c r="AI45" s="111" t="s">
        <v>3785</v>
      </c>
      <c r="AJ45" s="111">
        <v>380000</v>
      </c>
      <c r="AK45" s="97">
        <v>7</v>
      </c>
      <c r="AL45" s="97">
        <f t="shared" si="9"/>
        <v>930</v>
      </c>
      <c r="AM45" s="111">
        <f t="shared" si="10"/>
        <v>353400000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97" t="s">
        <v>5497</v>
      </c>
      <c r="L46" s="115">
        <f>J140</f>
        <v>327523894</v>
      </c>
      <c r="M46" s="19" t="s">
        <v>4357</v>
      </c>
      <c r="N46" s="115">
        <f t="shared" si="26"/>
        <v>6473370</v>
      </c>
      <c r="O46" s="67">
        <v>453</v>
      </c>
      <c r="P46" s="67">
        <v>14290</v>
      </c>
      <c r="Q46" s="167">
        <v>23400057</v>
      </c>
      <c r="R46" s="210" t="s">
        <v>5679</v>
      </c>
      <c r="S46" s="195">
        <f>S45-1</f>
        <v>195</v>
      </c>
      <c r="T46" s="210" t="s">
        <v>5683</v>
      </c>
      <c r="U46" s="210">
        <v>1610.6</v>
      </c>
      <c r="V46" s="210">
        <f t="shared" si="6"/>
        <v>1876.0092295890413</v>
      </c>
      <c r="W46" s="32">
        <f t="shared" si="24"/>
        <v>1913.5294141808222</v>
      </c>
      <c r="X46" s="32">
        <f t="shared" si="25"/>
        <v>1951.0495987726031</v>
      </c>
      <c r="Y46" s="94">
        <v>14475</v>
      </c>
      <c r="Z46" s="120" t="s">
        <v>25</v>
      </c>
      <c r="AB46" s="113"/>
      <c r="AC46" s="113"/>
      <c r="AD46" s="113"/>
      <c r="AE46" s="113"/>
      <c r="AF46" s="113"/>
      <c r="AH46" s="97">
        <v>27</v>
      </c>
      <c r="AI46" s="111" t="s">
        <v>3871</v>
      </c>
      <c r="AJ46" s="111">
        <v>450000</v>
      </c>
      <c r="AK46" s="97">
        <v>6</v>
      </c>
      <c r="AL46" s="97">
        <f t="shared" si="9"/>
        <v>923</v>
      </c>
      <c r="AM46" s="111">
        <f t="shared" si="10"/>
        <v>415350000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4361</v>
      </c>
      <c r="N47" s="115">
        <f t="shared" si="26"/>
        <v>0</v>
      </c>
      <c r="O47" s="67">
        <v>0</v>
      </c>
      <c r="P47" s="67">
        <v>21200</v>
      </c>
      <c r="Q47" s="167"/>
      <c r="R47" s="210" t="s">
        <v>5685</v>
      </c>
      <c r="S47" s="195">
        <f>S46-4</f>
        <v>191</v>
      </c>
      <c r="T47" s="210" t="s">
        <v>5686</v>
      </c>
      <c r="U47" s="210">
        <v>1582</v>
      </c>
      <c r="V47" s="210">
        <f t="shared" si="6"/>
        <v>1837.8419068493151</v>
      </c>
      <c r="W47" s="32">
        <f t="shared" ref="W47:W57" si="27">V47*(1+$W$19/100)</f>
        <v>1874.5987449863014</v>
      </c>
      <c r="X47" s="32">
        <f t="shared" ref="X47:X57" si="28">V47*(1+$X$19/100)</f>
        <v>1911.3555831232877</v>
      </c>
      <c r="Y47" s="94">
        <v>71983</v>
      </c>
      <c r="Z47" s="120"/>
      <c r="AA47" s="94"/>
      <c r="AB47" s="113"/>
      <c r="AC47" s="113"/>
      <c r="AD47" s="113" t="s">
        <v>25</v>
      </c>
      <c r="AE47" s="113"/>
      <c r="AF47" s="113"/>
      <c r="AH47" s="97">
        <v>28</v>
      </c>
      <c r="AI47" s="111" t="s">
        <v>3895</v>
      </c>
      <c r="AJ47" s="111">
        <v>2800000</v>
      </c>
      <c r="AK47" s="97">
        <v>1</v>
      </c>
      <c r="AL47" s="97">
        <f t="shared" si="9"/>
        <v>917</v>
      </c>
      <c r="AM47" s="111">
        <f t="shared" si="10"/>
        <v>2567600000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19" t="s">
        <v>4159</v>
      </c>
      <c r="N48" s="111">
        <f>O48*P48</f>
        <v>4651338860</v>
      </c>
      <c r="O48" s="97">
        <v>4408852</v>
      </c>
      <c r="P48" s="97">
        <v>1055</v>
      </c>
      <c r="Q48" s="167"/>
      <c r="R48" s="210" t="s">
        <v>5687</v>
      </c>
      <c r="S48" s="195">
        <f>S47-1</f>
        <v>190</v>
      </c>
      <c r="T48" s="210" t="s">
        <v>5688</v>
      </c>
      <c r="U48" s="210">
        <v>1530</v>
      </c>
      <c r="V48" s="210">
        <f t="shared" si="6"/>
        <v>1776.2587397260277</v>
      </c>
      <c r="W48" s="32">
        <f t="shared" si="27"/>
        <v>1811.7839145205483</v>
      </c>
      <c r="X48" s="32">
        <f t="shared" si="28"/>
        <v>1847.3090893150688</v>
      </c>
      <c r="Y48" s="94">
        <v>2971</v>
      </c>
      <c r="Z48" s="120"/>
      <c r="AA48" s="94"/>
      <c r="AB48" s="113" t="s">
        <v>25</v>
      </c>
      <c r="AC48" s="113"/>
      <c r="AD48" s="113"/>
      <c r="AE48" s="113"/>
      <c r="AF48" s="113"/>
      <c r="AH48" s="97">
        <v>29</v>
      </c>
      <c r="AI48" s="111" t="s">
        <v>3896</v>
      </c>
      <c r="AJ48" s="111">
        <v>-1500000</v>
      </c>
      <c r="AK48" s="97">
        <v>0</v>
      </c>
      <c r="AL48" s="97">
        <f t="shared" si="9"/>
        <v>916</v>
      </c>
      <c r="AM48" s="111">
        <f t="shared" si="10"/>
        <v>-1374000000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5964</v>
      </c>
      <c r="N49" s="111">
        <f>O49*P49</f>
        <v>0</v>
      </c>
      <c r="O49" s="97">
        <v>0</v>
      </c>
      <c r="P49" s="97">
        <v>1975</v>
      </c>
      <c r="Q49" s="167"/>
      <c r="R49" s="210" t="s">
        <v>5690</v>
      </c>
      <c r="S49" s="195">
        <f>S48-2</f>
        <v>188</v>
      </c>
      <c r="T49" s="210" t="s">
        <v>5691</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916</v>
      </c>
      <c r="AM49" s="111">
        <f t="shared" si="10"/>
        <v>2793800000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19" t="s">
        <v>5929</v>
      </c>
      <c r="N50" s="111">
        <f>O50*P50</f>
        <v>0</v>
      </c>
      <c r="O50" s="97">
        <v>0</v>
      </c>
      <c r="P50" s="97">
        <v>7480</v>
      </c>
      <c r="Q50" s="167"/>
      <c r="R50" s="210" t="s">
        <v>5706</v>
      </c>
      <c r="S50" s="195">
        <f>S49-19</f>
        <v>169</v>
      </c>
      <c r="T50" s="210" t="s">
        <v>5707</v>
      </c>
      <c r="U50" s="210">
        <v>1160</v>
      </c>
      <c r="V50" s="210">
        <f t="shared" si="6"/>
        <v>1328.0188493150688</v>
      </c>
      <c r="W50" s="32">
        <f t="shared" si="27"/>
        <v>1354.5792263013702</v>
      </c>
      <c r="X50" s="32">
        <f t="shared" si="28"/>
        <v>1381.1396032876717</v>
      </c>
      <c r="Y50" s="94">
        <v>53136</v>
      </c>
      <c r="Z50" s="120"/>
      <c r="AA50" s="94"/>
      <c r="AH50" s="97">
        <v>31</v>
      </c>
      <c r="AI50" s="111" t="s">
        <v>3920</v>
      </c>
      <c r="AJ50" s="111">
        <v>-8299612</v>
      </c>
      <c r="AK50" s="97">
        <v>2</v>
      </c>
      <c r="AL50" s="97">
        <f t="shared" si="9"/>
        <v>913</v>
      </c>
      <c r="AM50" s="111">
        <f t="shared" si="10"/>
        <v>-7577545756</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K51" s="97"/>
      <c r="L51" s="115"/>
      <c r="M51" s="19" t="s">
        <v>5905</v>
      </c>
      <c r="N51" s="111">
        <f>O51*P51</f>
        <v>2000</v>
      </c>
      <c r="O51" s="97">
        <v>1000</v>
      </c>
      <c r="P51" s="97">
        <v>2</v>
      </c>
      <c r="Q51" s="167"/>
      <c r="R51" s="210" t="s">
        <v>5708</v>
      </c>
      <c r="S51" s="195">
        <f>S50-1</f>
        <v>168</v>
      </c>
      <c r="T51" s="210" t="s">
        <v>5709</v>
      </c>
      <c r="U51" s="210"/>
      <c r="V51" s="210">
        <f t="shared" si="6"/>
        <v>0</v>
      </c>
      <c r="W51" s="32">
        <f t="shared" si="27"/>
        <v>0</v>
      </c>
      <c r="X51" s="32">
        <f t="shared" si="28"/>
        <v>0</v>
      </c>
      <c r="Y51" s="94">
        <v>152397</v>
      </c>
      <c r="Z51" s="120"/>
      <c r="AA51" s="94"/>
      <c r="AH51" s="97">
        <v>32</v>
      </c>
      <c r="AI51" s="111" t="s">
        <v>3915</v>
      </c>
      <c r="AJ51" s="111">
        <v>5000000</v>
      </c>
      <c r="AK51" s="97">
        <v>14</v>
      </c>
      <c r="AL51" s="97">
        <f t="shared" si="9"/>
        <v>911</v>
      </c>
      <c r="AM51" s="111">
        <f t="shared" si="10"/>
        <v>4555000000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5291</v>
      </c>
      <c r="N52" s="111">
        <f t="shared" si="26"/>
        <v>176375502</v>
      </c>
      <c r="O52" s="97">
        <v>138009</v>
      </c>
      <c r="P52" s="97">
        <v>1278</v>
      </c>
      <c r="Q52" s="167"/>
      <c r="R52" s="210" t="s">
        <v>5710</v>
      </c>
      <c r="S52" s="195">
        <f>S51-1</f>
        <v>167</v>
      </c>
      <c r="T52" s="210" t="s">
        <v>5711</v>
      </c>
      <c r="U52" s="210"/>
      <c r="V52" s="210">
        <f t="shared" ref="V52:V74" si="29">U52*(1+$R$104+$Q$15*S52/36500)</f>
        <v>0</v>
      </c>
      <c r="W52" s="32">
        <f t="shared" si="27"/>
        <v>0</v>
      </c>
      <c r="X52" s="32">
        <f t="shared" si="28"/>
        <v>0</v>
      </c>
      <c r="Y52" s="94">
        <v>173628</v>
      </c>
      <c r="Z52" s="120"/>
      <c r="AA52" s="94"/>
      <c r="AH52" s="97">
        <v>33</v>
      </c>
      <c r="AI52" s="111" t="s">
        <v>975</v>
      </c>
      <c r="AJ52" s="111">
        <v>-90000</v>
      </c>
      <c r="AK52" s="97">
        <v>1</v>
      </c>
      <c r="AL52" s="97">
        <f t="shared" si="9"/>
        <v>897</v>
      </c>
      <c r="AM52" s="111">
        <f t="shared" si="10"/>
        <v>-80730000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253"/>
      <c r="L53" s="115" t="s">
        <v>25</v>
      </c>
      <c r="M53" s="21" t="s">
        <v>1070</v>
      </c>
      <c r="N53" s="115">
        <f t="shared" si="26"/>
        <v>0</v>
      </c>
      <c r="O53" s="67">
        <v>0</v>
      </c>
      <c r="P53" s="67">
        <v>1035000</v>
      </c>
      <c r="Q53" s="167"/>
      <c r="R53" s="210" t="s">
        <v>5713</v>
      </c>
      <c r="S53" s="195">
        <f>S52-3</f>
        <v>164</v>
      </c>
      <c r="T53" s="210" t="s">
        <v>5714</v>
      </c>
      <c r="U53" s="210"/>
      <c r="V53" s="210">
        <f t="shared" si="29"/>
        <v>0</v>
      </c>
      <c r="W53" s="32">
        <f t="shared" si="27"/>
        <v>0</v>
      </c>
      <c r="X53" s="32">
        <f t="shared" si="28"/>
        <v>0</v>
      </c>
      <c r="Y53" s="94">
        <v>79504</v>
      </c>
      <c r="Z53" s="120"/>
      <c r="AA53" s="94"/>
      <c r="AH53" s="97">
        <v>34</v>
      </c>
      <c r="AI53" s="111" t="s">
        <v>4037</v>
      </c>
      <c r="AJ53" s="111">
        <v>5600000</v>
      </c>
      <c r="AK53" s="97">
        <v>4</v>
      </c>
      <c r="AL53" s="97">
        <f t="shared" si="9"/>
        <v>896</v>
      </c>
      <c r="AM53" s="111">
        <f t="shared" si="10"/>
        <v>5017600000</v>
      </c>
      <c r="AN53" s="97"/>
    </row>
    <row r="54" spans="1:45">
      <c r="A54" s="61">
        <v>1400</v>
      </c>
      <c r="B54" s="11">
        <v>52</v>
      </c>
      <c r="C54" s="47">
        <f t="shared" si="4"/>
        <v>5380547.1560366414</v>
      </c>
      <c r="D54" s="3">
        <f t="shared" si="5"/>
        <v>4370773.2377119577</v>
      </c>
      <c r="E54" s="3">
        <f t="shared" si="11"/>
        <v>542808580.73450804</v>
      </c>
      <c r="F54" s="3"/>
      <c r="G54" s="11"/>
      <c r="H54" s="11"/>
      <c r="J54" s="112"/>
      <c r="K54" s="97"/>
      <c r="L54" s="115"/>
      <c r="M54" s="71" t="s">
        <v>5078</v>
      </c>
      <c r="N54" s="115">
        <f t="shared" si="26"/>
        <v>0</v>
      </c>
      <c r="O54" s="67">
        <v>0</v>
      </c>
      <c r="P54" s="67">
        <v>24800</v>
      </c>
      <c r="Q54" s="167"/>
      <c r="R54" s="210" t="s">
        <v>5716</v>
      </c>
      <c r="S54" s="195">
        <f>S53-2</f>
        <v>162</v>
      </c>
      <c r="T54" s="210" t="s">
        <v>5717</v>
      </c>
      <c r="U54" s="210"/>
      <c r="V54" s="210">
        <f t="shared" si="29"/>
        <v>0</v>
      </c>
      <c r="W54" s="32">
        <f t="shared" si="27"/>
        <v>0</v>
      </c>
      <c r="X54" s="32">
        <f t="shared" si="28"/>
        <v>0</v>
      </c>
      <c r="Y54" s="94">
        <v>19196</v>
      </c>
      <c r="Z54" s="120"/>
      <c r="AA54" s="94"/>
      <c r="AH54" s="97">
        <v>35</v>
      </c>
      <c r="AI54" s="111" t="s">
        <v>3965</v>
      </c>
      <c r="AJ54" s="111">
        <v>750000</v>
      </c>
      <c r="AK54" s="97">
        <v>2</v>
      </c>
      <c r="AL54" s="97">
        <f t="shared" si="9"/>
        <v>892</v>
      </c>
      <c r="AM54" s="111">
        <f t="shared" si="10"/>
        <v>669000000</v>
      </c>
      <c r="AN54" s="97"/>
    </row>
    <row r="55" spans="1:45">
      <c r="A55" s="61">
        <v>1400</v>
      </c>
      <c r="B55" s="11">
        <v>53</v>
      </c>
      <c r="C55" s="47">
        <f t="shared" si="4"/>
        <v>5434352.6275970079</v>
      </c>
      <c r="D55" s="3">
        <f t="shared" si="5"/>
        <v>4414480.970089077</v>
      </c>
      <c r="E55" s="3">
        <f t="shared" si="11"/>
        <v>554684624.00670612</v>
      </c>
      <c r="F55" s="3"/>
      <c r="G55" s="11"/>
      <c r="H55" s="11"/>
      <c r="J55" s="112"/>
      <c r="K55" s="97" t="s">
        <v>5544</v>
      </c>
      <c r="L55" s="115"/>
      <c r="M55" s="166" t="s">
        <v>1136</v>
      </c>
      <c r="N55" s="115">
        <v>14908</v>
      </c>
      <c r="O55" s="72">
        <v>1</v>
      </c>
      <c r="P55" t="s">
        <v>25</v>
      </c>
      <c r="Q55" s="167" t="s">
        <v>25</v>
      </c>
      <c r="R55" s="210" t="s">
        <v>5719</v>
      </c>
      <c r="S55" s="195">
        <f>S54-7</f>
        <v>155</v>
      </c>
      <c r="T55" s="210" t="s">
        <v>5720</v>
      </c>
      <c r="U55" s="210" t="s">
        <v>25</v>
      </c>
      <c r="V55" s="210" t="e">
        <f t="shared" si="29"/>
        <v>#VALUE!</v>
      </c>
      <c r="W55" s="32" t="e">
        <f t="shared" si="27"/>
        <v>#VALUE!</v>
      </c>
      <c r="X55" s="32" t="e">
        <f t="shared" si="28"/>
        <v>#VALUE!</v>
      </c>
      <c r="Y55" s="94">
        <v>101322</v>
      </c>
      <c r="Z55" s="120"/>
      <c r="AA55" s="94"/>
      <c r="AH55" s="169">
        <v>36</v>
      </c>
      <c r="AI55" s="168" t="s">
        <v>3975</v>
      </c>
      <c r="AJ55" s="168">
        <v>-4242000</v>
      </c>
      <c r="AK55" s="169">
        <v>2</v>
      </c>
      <c r="AL55" s="169">
        <f t="shared" si="9"/>
        <v>890</v>
      </c>
      <c r="AM55" s="168">
        <f t="shared" si="10"/>
        <v>-3775380000</v>
      </c>
      <c r="AN55" s="169" t="s">
        <v>4046</v>
      </c>
    </row>
    <row r="56" spans="1:45" ht="30">
      <c r="A56" s="61">
        <v>1400</v>
      </c>
      <c r="B56" s="11">
        <v>54</v>
      </c>
      <c r="C56" s="47">
        <f t="shared" si="4"/>
        <v>5488696.1538729779</v>
      </c>
      <c r="D56" s="3">
        <f t="shared" si="5"/>
        <v>4458625.7797899675</v>
      </c>
      <c r="E56" s="3">
        <f t="shared" si="11"/>
        <v>566808386.86092329</v>
      </c>
      <c r="F56" s="3"/>
      <c r="G56" s="11"/>
      <c r="H56" s="11"/>
      <c r="K56" s="253" t="s">
        <v>5567</v>
      </c>
      <c r="L56" s="115">
        <v>-1605910</v>
      </c>
      <c r="M56" s="166" t="s">
        <v>1137</v>
      </c>
      <c r="N56" s="115">
        <v>5282</v>
      </c>
      <c r="O56" s="94"/>
      <c r="P56" t="s">
        <v>25</v>
      </c>
      <c r="Q56" s="167"/>
      <c r="R56" s="210" t="s">
        <v>965</v>
      </c>
      <c r="S56" s="315">
        <f>S55-20</f>
        <v>135</v>
      </c>
      <c r="T56" s="210" t="s">
        <v>5745</v>
      </c>
      <c r="U56" s="210"/>
      <c r="V56" s="210">
        <f t="shared" si="29"/>
        <v>0</v>
      </c>
      <c r="W56" s="32">
        <f t="shared" si="27"/>
        <v>0</v>
      </c>
      <c r="X56" s="32">
        <f t="shared" si="28"/>
        <v>0</v>
      </c>
      <c r="Y56" s="94">
        <v>948</v>
      </c>
      <c r="Z56" s="120"/>
      <c r="AA56" s="94"/>
      <c r="AH56" s="97">
        <v>37</v>
      </c>
      <c r="AI56" s="111" t="s">
        <v>3975</v>
      </c>
      <c r="AJ56" s="111">
        <v>4100000</v>
      </c>
      <c r="AK56" s="97">
        <v>0</v>
      </c>
      <c r="AL56" s="97">
        <f t="shared" si="9"/>
        <v>888</v>
      </c>
      <c r="AM56" s="111">
        <f t="shared" si="10"/>
        <v>3640800000</v>
      </c>
      <c r="AN56" s="97"/>
    </row>
    <row r="57" spans="1:45">
      <c r="A57" s="61">
        <v>1400</v>
      </c>
      <c r="B57" s="11">
        <v>55</v>
      </c>
      <c r="C57" s="48">
        <f t="shared" si="4"/>
        <v>5543583.1154117081</v>
      </c>
      <c r="D57" s="3">
        <f t="shared" si="5"/>
        <v>4503212.0375878671</v>
      </c>
      <c r="E57" s="3">
        <f t="shared" si="11"/>
        <v>579184925.67596567</v>
      </c>
      <c r="F57" s="3"/>
      <c r="G57" s="11"/>
      <c r="H57" s="11"/>
      <c r="K57" s="57"/>
      <c r="L57" s="115"/>
      <c r="M57" s="166"/>
      <c r="N57" s="111"/>
      <c r="O57" s="113"/>
      <c r="P57" s="113"/>
      <c r="Q57" s="167" t="s">
        <v>25</v>
      </c>
      <c r="R57" s="210" t="s">
        <v>5785</v>
      </c>
      <c r="S57" s="195">
        <f>S56-22</f>
        <v>113</v>
      </c>
      <c r="T57" s="210" t="s">
        <v>5786</v>
      </c>
      <c r="U57" s="210">
        <v>1302</v>
      </c>
      <c r="V57" s="210">
        <f t="shared" si="29"/>
        <v>1434.6541808219181</v>
      </c>
      <c r="W57" s="32">
        <f t="shared" si="27"/>
        <v>1463.3472644383564</v>
      </c>
      <c r="X57" s="32">
        <f t="shared" si="28"/>
        <v>1492.0403480547948</v>
      </c>
      <c r="Y57">
        <v>483004</v>
      </c>
      <c r="Z57" s="120" t="s">
        <v>25</v>
      </c>
      <c r="AA57" s="94"/>
      <c r="AH57" s="97">
        <v>38</v>
      </c>
      <c r="AI57" s="111" t="s">
        <v>3981</v>
      </c>
      <c r="AJ57" s="111">
        <v>4100000</v>
      </c>
      <c r="AK57" s="97">
        <v>1</v>
      </c>
      <c r="AL57" s="97">
        <f t="shared" si="9"/>
        <v>888</v>
      </c>
      <c r="AM57" s="111">
        <f t="shared" si="10"/>
        <v>3640800000</v>
      </c>
      <c r="AN57" s="97"/>
    </row>
    <row r="58" spans="1:45">
      <c r="A58" s="61">
        <v>1400</v>
      </c>
      <c r="B58" s="11">
        <v>56</v>
      </c>
      <c r="C58" s="48">
        <f t="shared" si="4"/>
        <v>5599018.9465658255</v>
      </c>
      <c r="D58" s="3">
        <f t="shared" si="5"/>
        <v>4548244.1579637462</v>
      </c>
      <c r="E58" s="3">
        <f t="shared" si="11"/>
        <v>591819398.97808707</v>
      </c>
      <c r="F58" s="3"/>
      <c r="G58" s="11"/>
      <c r="H58" s="11"/>
      <c r="K58" s="97"/>
      <c r="L58" s="115"/>
      <c r="M58" s="166"/>
      <c r="N58" s="111"/>
      <c r="P58" t="s">
        <v>25</v>
      </c>
      <c r="Q58" s="167"/>
      <c r="R58" s="210" t="s">
        <v>5792</v>
      </c>
      <c r="S58" s="195">
        <f>S57-1</f>
        <v>112</v>
      </c>
      <c r="T58" s="210" t="s">
        <v>5793</v>
      </c>
      <c r="U58" s="210">
        <v>1250</v>
      </c>
      <c r="V58" s="210">
        <f t="shared" si="29"/>
        <v>1376.3972602739727</v>
      </c>
      <c r="W58" s="32">
        <f t="shared" ref="W58:W76" si="30">V58*(1+$W$19/100)</f>
        <v>1403.9252054794522</v>
      </c>
      <c r="X58" s="32">
        <f t="shared" ref="X58:X76" si="31">V58*(1+$X$19/100)</f>
        <v>1431.4531506849316</v>
      </c>
      <c r="Y58" s="120">
        <v>20399</v>
      </c>
      <c r="Z58" s="120"/>
      <c r="AA58" s="94"/>
      <c r="AH58" s="97">
        <v>39</v>
      </c>
      <c r="AI58" s="111" t="s">
        <v>3990</v>
      </c>
      <c r="AJ58" s="111">
        <v>790000</v>
      </c>
      <c r="AK58" s="97">
        <v>15</v>
      </c>
      <c r="AL58" s="97">
        <f t="shared" si="9"/>
        <v>887</v>
      </c>
      <c r="AM58" s="111">
        <f t="shared" si="10"/>
        <v>700730000</v>
      </c>
      <c r="AN58" s="97"/>
    </row>
    <row r="59" spans="1:45">
      <c r="A59" s="61">
        <v>1400</v>
      </c>
      <c r="B59" s="11">
        <v>57</v>
      </c>
      <c r="C59" s="48">
        <f t="shared" si="4"/>
        <v>5655009.1360314842</v>
      </c>
      <c r="D59" s="3">
        <f t="shared" si="5"/>
        <v>4593726.5995433833</v>
      </c>
      <c r="E59" s="3">
        <f t="shared" si="11"/>
        <v>604717069.49413705</v>
      </c>
      <c r="F59" s="3"/>
      <c r="G59" s="11"/>
      <c r="H59" s="11"/>
      <c r="J59" s="112"/>
      <c r="K59" s="166"/>
      <c r="L59" s="115"/>
      <c r="M59" s="166"/>
      <c r="N59" s="111"/>
      <c r="P59" t="s">
        <v>25</v>
      </c>
      <c r="Q59" s="167"/>
      <c r="R59" s="210" t="s">
        <v>5797</v>
      </c>
      <c r="S59" s="195">
        <f>S58-4</f>
        <v>108</v>
      </c>
      <c r="T59" s="210" t="s">
        <v>5798</v>
      </c>
      <c r="U59" s="210">
        <v>1195</v>
      </c>
      <c r="V59" s="210">
        <f t="shared" si="29"/>
        <v>1312.1689315068495</v>
      </c>
      <c r="W59" s="32">
        <f t="shared" si="30"/>
        <v>1338.4123101369864</v>
      </c>
      <c r="X59" s="32">
        <f t="shared" si="31"/>
        <v>1364.6556887671236</v>
      </c>
      <c r="Y59" s="120">
        <v>3122</v>
      </c>
      <c r="Z59" s="120"/>
      <c r="AA59" s="94"/>
      <c r="AB59" s="94"/>
      <c r="AC59" s="94"/>
      <c r="AH59" s="169">
        <v>40</v>
      </c>
      <c r="AI59" s="168" t="s">
        <v>4021</v>
      </c>
      <c r="AJ59" s="168">
        <v>-3865000</v>
      </c>
      <c r="AK59" s="169">
        <v>6</v>
      </c>
      <c r="AL59" s="169">
        <f t="shared" si="9"/>
        <v>872</v>
      </c>
      <c r="AM59" s="170">
        <f t="shared" si="10"/>
        <v>-3370280000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10" t="s">
        <v>5804</v>
      </c>
      <c r="S60" s="195">
        <f>S59-4</f>
        <v>104</v>
      </c>
      <c r="T60" s="210" t="s">
        <v>5808</v>
      </c>
      <c r="U60" s="210">
        <v>1190</v>
      </c>
      <c r="V60" s="210">
        <f t="shared" si="29"/>
        <v>1303.027178082192</v>
      </c>
      <c r="W60" s="32">
        <f t="shared" si="30"/>
        <v>1329.0877216438359</v>
      </c>
      <c r="X60" s="32">
        <f t="shared" si="31"/>
        <v>1355.1482652054797</v>
      </c>
      <c r="Y60" s="120">
        <v>129</v>
      </c>
      <c r="Z60" s="120"/>
      <c r="AA60" s="94"/>
      <c r="AB60" s="94"/>
      <c r="AC60" s="94"/>
      <c r="AH60" s="20">
        <v>41</v>
      </c>
      <c r="AI60" s="115" t="s">
        <v>4051</v>
      </c>
      <c r="AJ60" s="115">
        <v>18800000</v>
      </c>
      <c r="AK60" s="20">
        <v>3</v>
      </c>
      <c r="AL60" s="97">
        <f t="shared" si="9"/>
        <v>866</v>
      </c>
      <c r="AM60" s="111">
        <f t="shared" si="10"/>
        <v>16280800000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t="s">
        <v>4404</v>
      </c>
      <c r="N61" s="111">
        <f>-W154</f>
        <v>-98581547.410320982</v>
      </c>
      <c r="P61" t="s">
        <v>25</v>
      </c>
      <c r="Q61" s="167"/>
      <c r="R61" s="210" t="s">
        <v>5806</v>
      </c>
      <c r="S61" s="195">
        <f>S59-7</f>
        <v>101</v>
      </c>
      <c r="T61" s="210" t="s">
        <v>5807</v>
      </c>
      <c r="U61" s="210">
        <v>1147</v>
      </c>
      <c r="V61" s="210">
        <f t="shared" si="29"/>
        <v>1253.3033315068494</v>
      </c>
      <c r="W61" s="32">
        <f t="shared" si="30"/>
        <v>1278.3693981369863</v>
      </c>
      <c r="X61" s="32">
        <f t="shared" si="31"/>
        <v>1303.4354647671234</v>
      </c>
      <c r="Y61" s="120">
        <v>27849</v>
      </c>
      <c r="Z61" s="120"/>
      <c r="AA61" s="94"/>
      <c r="AB61" s="94"/>
      <c r="AC61" s="94"/>
      <c r="AH61" s="20">
        <v>42</v>
      </c>
      <c r="AI61" s="115" t="s">
        <v>4067</v>
      </c>
      <c r="AJ61" s="115">
        <v>500000</v>
      </c>
      <c r="AK61" s="20">
        <v>1</v>
      </c>
      <c r="AL61" s="97">
        <f t="shared" si="9"/>
        <v>863</v>
      </c>
      <c r="AM61" s="111">
        <f t="shared" si="10"/>
        <v>431500000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c r="N62" s="111"/>
      <c r="P62" t="s">
        <v>25</v>
      </c>
      <c r="Q62" s="167"/>
      <c r="R62" s="210" t="s">
        <v>5810</v>
      </c>
      <c r="S62" s="195">
        <f>S61-2</f>
        <v>99</v>
      </c>
      <c r="T62" s="210" t="s">
        <v>5970</v>
      </c>
      <c r="U62" s="210">
        <v>1170</v>
      </c>
      <c r="V62" s="210">
        <f t="shared" si="29"/>
        <v>1276.639890410959</v>
      </c>
      <c r="W62" s="32">
        <f t="shared" si="30"/>
        <v>1302.1726882191781</v>
      </c>
      <c r="X62" s="32">
        <f t="shared" si="31"/>
        <v>1327.7054860273975</v>
      </c>
      <c r="Y62" s="120">
        <v>17228</v>
      </c>
      <c r="Z62" s="120"/>
      <c r="AA62" s="94"/>
      <c r="AB62" s="94"/>
      <c r="AC62" s="94"/>
      <c r="AH62" s="20">
        <v>43</v>
      </c>
      <c r="AI62" s="115" t="s">
        <v>4071</v>
      </c>
      <c r="AJ62" s="115">
        <v>200000</v>
      </c>
      <c r="AK62" s="20">
        <v>3</v>
      </c>
      <c r="AL62" s="97">
        <f>AL63+AK62</f>
        <v>862</v>
      </c>
      <c r="AM62" s="111">
        <f t="shared" si="10"/>
        <v>172400000</v>
      </c>
      <c r="AN62" s="20"/>
    </row>
    <row r="63" spans="1:45">
      <c r="E63" s="26"/>
      <c r="J63" s="112"/>
      <c r="K63" s="166"/>
      <c r="L63" s="115"/>
      <c r="M63" s="166"/>
      <c r="N63" s="111"/>
      <c r="Q63" s="167"/>
      <c r="R63" s="210" t="s">
        <v>5856</v>
      </c>
      <c r="S63" s="195">
        <f>S62-64</f>
        <v>35</v>
      </c>
      <c r="T63" s="210" t="s">
        <v>5857</v>
      </c>
      <c r="U63" s="210">
        <v>1260</v>
      </c>
      <c r="V63" s="210">
        <f t="shared" si="29"/>
        <v>1312.9821369863016</v>
      </c>
      <c r="W63" s="32">
        <f t="shared" si="30"/>
        <v>1339.2417797260277</v>
      </c>
      <c r="X63" s="32">
        <f t="shared" si="31"/>
        <v>1365.5014224657536</v>
      </c>
      <c r="Y63" s="120"/>
      <c r="Z63" s="120">
        <v>4541</v>
      </c>
      <c r="AA63" s="94"/>
      <c r="AB63" s="94"/>
      <c r="AC63" s="94"/>
      <c r="AH63" s="20">
        <v>44</v>
      </c>
      <c r="AI63" s="115" t="s">
        <v>4078</v>
      </c>
      <c r="AJ63" s="115">
        <v>1000000</v>
      </c>
      <c r="AK63" s="20">
        <v>3</v>
      </c>
      <c r="AL63" s="97">
        <f t="shared" si="9"/>
        <v>859</v>
      </c>
      <c r="AM63" s="111">
        <f t="shared" si="10"/>
        <v>859000000</v>
      </c>
      <c r="AN63" s="20"/>
    </row>
    <row r="64" spans="1:45">
      <c r="E64" s="26"/>
      <c r="K64" s="166"/>
      <c r="L64" s="115"/>
      <c r="M64" s="166"/>
      <c r="N64" s="111">
        <f>SUM(N16:N63)</f>
        <v>3047609781.307857</v>
      </c>
      <c r="P64" t="s">
        <v>25</v>
      </c>
      <c r="Q64" s="167"/>
      <c r="R64" s="210" t="s">
        <v>5856</v>
      </c>
      <c r="S64" s="195">
        <f>S63</f>
        <v>35</v>
      </c>
      <c r="T64" s="210" t="s">
        <v>5858</v>
      </c>
      <c r="U64" s="210">
        <v>13501</v>
      </c>
      <c r="V64" s="210">
        <f t="shared" si="29"/>
        <v>14068.707802739727</v>
      </c>
      <c r="W64" s="32">
        <f t="shared" si="30"/>
        <v>14350.081958794523</v>
      </c>
      <c r="X64" s="32">
        <f t="shared" si="31"/>
        <v>14631.456114849318</v>
      </c>
      <c r="Y64" s="120"/>
      <c r="Z64" s="120"/>
      <c r="AA64" s="94">
        <v>89</v>
      </c>
      <c r="AB64" s="94"/>
      <c r="AC64" s="94"/>
      <c r="AH64" s="20">
        <v>45</v>
      </c>
      <c r="AI64" s="115" t="s">
        <v>4090</v>
      </c>
      <c r="AJ64" s="115">
        <v>1300000</v>
      </c>
      <c r="AK64" s="20">
        <v>0</v>
      </c>
      <c r="AL64" s="97">
        <f>AL65+AK64</f>
        <v>856</v>
      </c>
      <c r="AM64" s="111">
        <f t="shared" si="10"/>
        <v>1112800000</v>
      </c>
      <c r="AN64" s="20"/>
    </row>
    <row r="65" spans="1:40">
      <c r="K65" s="166" t="s">
        <v>593</v>
      </c>
      <c r="L65" s="111">
        <f>SUM(L16:L47)</f>
        <v>5185478277.2818222</v>
      </c>
      <c r="M65" s="166"/>
      <c r="N65" s="111">
        <f>N16+N17+N34</f>
        <v>641053</v>
      </c>
      <c r="P65" t="s">
        <v>25</v>
      </c>
      <c r="Q65" s="167"/>
      <c r="R65" s="210" t="s">
        <v>5928</v>
      </c>
      <c r="S65" s="195">
        <f>S64-29</f>
        <v>6</v>
      </c>
      <c r="T65" s="210" t="s">
        <v>5930</v>
      </c>
      <c r="U65" s="210">
        <v>14698</v>
      </c>
      <c r="V65" s="210">
        <f t="shared" si="29"/>
        <v>14989.060668493152</v>
      </c>
      <c r="W65" s="32">
        <f t="shared" si="30"/>
        <v>15288.841881863014</v>
      </c>
      <c r="X65" s="32">
        <f t="shared" si="31"/>
        <v>15588.623095232879</v>
      </c>
      <c r="Y65" s="120"/>
      <c r="Z65" s="120"/>
      <c r="AA65" s="94">
        <v>632</v>
      </c>
      <c r="AB65" s="94"/>
      <c r="AC65" s="94"/>
      <c r="AH65" s="20">
        <v>45</v>
      </c>
      <c r="AI65" s="115" t="s">
        <v>4090</v>
      </c>
      <c r="AJ65" s="115">
        <v>995000</v>
      </c>
      <c r="AK65" s="20">
        <v>2</v>
      </c>
      <c r="AL65" s="97">
        <f t="shared" ref="AL65:AL92" si="32">AL66+AK65</f>
        <v>856</v>
      </c>
      <c r="AM65" s="111">
        <f t="shared" si="10"/>
        <v>851720000</v>
      </c>
      <c r="AN65" s="20"/>
    </row>
    <row r="66" spans="1:40">
      <c r="K66" s="166" t="s">
        <v>594</v>
      </c>
      <c r="L66" s="111">
        <f>L16+L17+L27</f>
        <v>4956372</v>
      </c>
      <c r="M66" s="111"/>
      <c r="N66" s="166"/>
      <c r="O66" s="113"/>
      <c r="P66" s="113" t="s">
        <v>25</v>
      </c>
      <c r="Q66" s="167"/>
      <c r="R66" s="210" t="s">
        <v>5928</v>
      </c>
      <c r="S66" s="195">
        <f>S65</f>
        <v>6</v>
      </c>
      <c r="T66" s="210" t="s">
        <v>5931</v>
      </c>
      <c r="U66" s="210">
        <v>1301.0999999999999</v>
      </c>
      <c r="V66" s="210">
        <f t="shared" si="29"/>
        <v>1326.8653446575343</v>
      </c>
      <c r="W66" s="32">
        <f t="shared" si="30"/>
        <v>1353.4026515506851</v>
      </c>
      <c r="X66" s="32">
        <f t="shared" si="31"/>
        <v>1379.9399584438356</v>
      </c>
      <c r="Y66" s="120"/>
      <c r="Z66" s="120">
        <v>1289</v>
      </c>
      <c r="AA66" s="94"/>
      <c r="AB66" s="94"/>
      <c r="AC66" s="94"/>
      <c r="AH66" s="20">
        <v>46</v>
      </c>
      <c r="AI66" s="115" t="s">
        <v>4099</v>
      </c>
      <c r="AJ66" s="115">
        <v>13000000</v>
      </c>
      <c r="AK66" s="20">
        <v>2</v>
      </c>
      <c r="AL66" s="97">
        <f t="shared" si="32"/>
        <v>854</v>
      </c>
      <c r="AM66" s="111">
        <f t="shared" si="10"/>
        <v>11102000000</v>
      </c>
      <c r="AN66" s="20"/>
    </row>
    <row r="67" spans="1:40">
      <c r="A67" t="s">
        <v>25</v>
      </c>
      <c r="F67" t="s">
        <v>310</v>
      </c>
      <c r="G67" t="s">
        <v>4082</v>
      </c>
      <c r="K67" s="54" t="s">
        <v>709</v>
      </c>
      <c r="L67" s="1">
        <f>L65+N7</f>
        <v>5285478277.2818222</v>
      </c>
      <c r="O67" s="94"/>
      <c r="P67" s="120" t="s">
        <v>25</v>
      </c>
      <c r="Q67" s="167"/>
      <c r="R67" s="210" t="s">
        <v>5928</v>
      </c>
      <c r="S67" s="195">
        <f>S66</f>
        <v>6</v>
      </c>
      <c r="T67" s="210" t="s">
        <v>5932</v>
      </c>
      <c r="U67" s="210">
        <v>7722</v>
      </c>
      <c r="V67" s="210">
        <f t="shared" si="29"/>
        <v>7874.9167561643835</v>
      </c>
      <c r="W67" s="32">
        <f t="shared" si="30"/>
        <v>8032.4150912876712</v>
      </c>
      <c r="X67" s="32">
        <f t="shared" si="31"/>
        <v>8189.9134264109589</v>
      </c>
      <c r="Y67" s="120"/>
      <c r="Z67" s="120"/>
      <c r="AA67" s="94"/>
      <c r="AB67" s="94"/>
      <c r="AC67" s="94"/>
      <c r="AH67" s="20">
        <v>47</v>
      </c>
      <c r="AI67" s="115" t="s">
        <v>4112</v>
      </c>
      <c r="AJ67" s="115">
        <v>-3100000</v>
      </c>
      <c r="AK67" s="20">
        <v>3</v>
      </c>
      <c r="AL67" s="97">
        <f t="shared" si="32"/>
        <v>852</v>
      </c>
      <c r="AM67" s="111">
        <f t="shared" si="10"/>
        <v>-2641200000</v>
      </c>
      <c r="AN67" s="20"/>
    </row>
    <row r="68" spans="1:40">
      <c r="F68" t="s">
        <v>4086</v>
      </c>
      <c r="G68" t="s">
        <v>4081</v>
      </c>
      <c r="M68" s="25"/>
      <c r="O68" t="s">
        <v>25</v>
      </c>
      <c r="Q68" s="167"/>
      <c r="R68" s="210" t="s">
        <v>5948</v>
      </c>
      <c r="S68" s="195">
        <f>S67-3</f>
        <v>3</v>
      </c>
      <c r="T68" s="210" t="s">
        <v>5950</v>
      </c>
      <c r="U68" s="210">
        <v>14600</v>
      </c>
      <c r="V68" s="210">
        <f t="shared" si="29"/>
        <v>14855.52</v>
      </c>
      <c r="W68" s="32">
        <f t="shared" si="30"/>
        <v>15152.6304</v>
      </c>
      <c r="X68" s="32">
        <f t="shared" si="31"/>
        <v>15449.740800000001</v>
      </c>
      <c r="Y68" s="120"/>
      <c r="Z68" s="120"/>
      <c r="AA68" s="94">
        <v>1</v>
      </c>
      <c r="AB68" s="94" t="s">
        <v>25</v>
      </c>
      <c r="AC68" s="94"/>
      <c r="AH68" s="20">
        <v>48</v>
      </c>
      <c r="AI68" s="115" t="s">
        <v>4127</v>
      </c>
      <c r="AJ68" s="115">
        <v>45640000</v>
      </c>
      <c r="AK68" s="20">
        <v>1</v>
      </c>
      <c r="AL68" s="97">
        <f t="shared" si="32"/>
        <v>849</v>
      </c>
      <c r="AM68" s="111">
        <f t="shared" si="10"/>
        <v>38748360000</v>
      </c>
      <c r="AN68" s="20"/>
    </row>
    <row r="69" spans="1:40">
      <c r="F69" t="s">
        <v>4087</v>
      </c>
      <c r="G69" t="s">
        <v>4083</v>
      </c>
      <c r="M69" s="25"/>
      <c r="N69" s="94"/>
      <c r="O69" s="94" t="s">
        <v>25</v>
      </c>
      <c r="P69" s="113"/>
      <c r="Q69" s="167"/>
      <c r="R69" s="210" t="s">
        <v>5952</v>
      </c>
      <c r="S69" s="195">
        <f>S68-1</f>
        <v>2</v>
      </c>
      <c r="T69" s="210" t="s">
        <v>6507</v>
      </c>
      <c r="U69" s="210">
        <v>7450</v>
      </c>
      <c r="V69" s="210">
        <f t="shared" si="29"/>
        <v>7574.6701369863022</v>
      </c>
      <c r="W69" s="32">
        <f t="shared" si="30"/>
        <v>7726.1635397260279</v>
      </c>
      <c r="X69" s="32">
        <f t="shared" si="31"/>
        <v>7877.6569424657546</v>
      </c>
      <c r="Y69" s="120"/>
      <c r="Z69" s="120"/>
      <c r="AA69" s="94"/>
      <c r="AB69" s="94"/>
      <c r="AC69" s="94"/>
      <c r="AH69" s="20">
        <v>49</v>
      </c>
      <c r="AI69" s="115" t="s">
        <v>4132</v>
      </c>
      <c r="AJ69" s="115">
        <v>33500000</v>
      </c>
      <c r="AK69" s="20">
        <v>1</v>
      </c>
      <c r="AL69" s="97">
        <f t="shared" si="32"/>
        <v>848</v>
      </c>
      <c r="AM69" s="111">
        <f t="shared" si="10"/>
        <v>28408000000</v>
      </c>
      <c r="AN69" s="20"/>
    </row>
    <row r="70" spans="1:40">
      <c r="G70" t="s">
        <v>4084</v>
      </c>
      <c r="M70" s="175"/>
      <c r="N70" s="94"/>
      <c r="O70" s="94"/>
      <c r="P70" s="113"/>
      <c r="Q70" s="167"/>
      <c r="R70" s="210" t="s">
        <v>5966</v>
      </c>
      <c r="S70" s="195">
        <f>S69-2</f>
        <v>0</v>
      </c>
      <c r="T70" s="210" t="s">
        <v>5968</v>
      </c>
      <c r="U70" s="210">
        <v>1976</v>
      </c>
      <c r="V70" s="210">
        <f t="shared" si="29"/>
        <v>2006.0352000000003</v>
      </c>
      <c r="W70" s="32">
        <f t="shared" si="30"/>
        <v>2046.1559040000002</v>
      </c>
      <c r="X70" s="32">
        <f t="shared" si="31"/>
        <v>2086.2766080000001</v>
      </c>
      <c r="Y70" s="120"/>
      <c r="Z70" s="120"/>
      <c r="AA70" s="94"/>
      <c r="AH70" s="20">
        <v>50</v>
      </c>
      <c r="AI70" s="115" t="s">
        <v>4137</v>
      </c>
      <c r="AJ70" s="115">
        <v>12000000</v>
      </c>
      <c r="AK70" s="20">
        <v>1</v>
      </c>
      <c r="AL70" s="97">
        <f t="shared" si="32"/>
        <v>847</v>
      </c>
      <c r="AM70" s="115">
        <f t="shared" si="10"/>
        <v>10164000000</v>
      </c>
      <c r="AN70" s="20"/>
    </row>
    <row r="71" spans="1:40">
      <c r="G71" t="s">
        <v>4085</v>
      </c>
      <c r="M71" s="94"/>
      <c r="N71" s="94"/>
      <c r="O71" s="94"/>
      <c r="Q71" s="167"/>
      <c r="R71" s="210" t="s">
        <v>5966</v>
      </c>
      <c r="S71" s="195">
        <f>S70</f>
        <v>0</v>
      </c>
      <c r="T71" s="210" t="s">
        <v>5969</v>
      </c>
      <c r="U71" s="210">
        <v>1274.0999999999999</v>
      </c>
      <c r="V71" s="210">
        <f t="shared" si="29"/>
        <v>1293.46632</v>
      </c>
      <c r="W71" s="32">
        <f t="shared" si="30"/>
        <v>1319.3356464000001</v>
      </c>
      <c r="X71" s="32">
        <f t="shared" si="31"/>
        <v>1345.2049728</v>
      </c>
      <c r="Y71" s="120"/>
      <c r="Z71" s="120">
        <v>59423</v>
      </c>
      <c r="AA71" s="94"/>
      <c r="AH71" s="20">
        <v>51</v>
      </c>
      <c r="AI71" s="115" t="s">
        <v>4142</v>
      </c>
      <c r="AJ71" s="115">
        <v>15500000</v>
      </c>
      <c r="AK71" s="20">
        <v>4</v>
      </c>
      <c r="AL71" s="97">
        <f t="shared" si="32"/>
        <v>846</v>
      </c>
      <c r="AM71" s="115">
        <f t="shared" si="10"/>
        <v>13113000000</v>
      </c>
      <c r="AN71" s="20"/>
    </row>
    <row r="72" spans="1:40">
      <c r="G72" t="s">
        <v>4089</v>
      </c>
      <c r="M72" s="120" t="s">
        <v>4375</v>
      </c>
      <c r="O72" s="112"/>
      <c r="Q72" s="167"/>
      <c r="R72" s="210" t="s">
        <v>5972</v>
      </c>
      <c r="S72" s="195">
        <f>S71-1</f>
        <v>-1</v>
      </c>
      <c r="T72" s="210" t="s">
        <v>5976</v>
      </c>
      <c r="U72" s="210">
        <v>1278</v>
      </c>
      <c r="V72" s="210">
        <f t="shared" si="29"/>
        <v>1296.4452164383565</v>
      </c>
      <c r="W72" s="32">
        <f t="shared" si="30"/>
        <v>1322.3741207671237</v>
      </c>
      <c r="X72" s="32">
        <f t="shared" si="31"/>
        <v>1348.3030250958909</v>
      </c>
      <c r="Y72" s="120"/>
      <c r="Z72" s="120">
        <v>110</v>
      </c>
      <c r="AA72" s="94"/>
      <c r="AH72" s="20">
        <v>52</v>
      </c>
      <c r="AI72" s="115" t="s">
        <v>4146</v>
      </c>
      <c r="AJ72" s="115">
        <v>150000</v>
      </c>
      <c r="AK72" s="20">
        <v>1</v>
      </c>
      <c r="AL72" s="97">
        <f t="shared" si="32"/>
        <v>842</v>
      </c>
      <c r="AM72" s="115">
        <f t="shared" si="10"/>
        <v>126300000</v>
      </c>
      <c r="AN72" s="20"/>
    </row>
    <row r="73" spans="1:40">
      <c r="G73" t="s">
        <v>4088</v>
      </c>
      <c r="M73" s="120"/>
      <c r="N73" s="94"/>
      <c r="Q73" s="167"/>
      <c r="R73" s="210" t="s">
        <v>6505</v>
      </c>
      <c r="S73" s="195">
        <f>S72-3</f>
        <v>-4</v>
      </c>
      <c r="T73" s="210" t="s">
        <v>6506</v>
      </c>
      <c r="U73" s="210">
        <v>1255</v>
      </c>
      <c r="V73" s="210">
        <f t="shared" si="29"/>
        <v>1270.2250410958904</v>
      </c>
      <c r="W73" s="32">
        <f t="shared" si="30"/>
        <v>1295.6295419178082</v>
      </c>
      <c r="X73" s="32">
        <f t="shared" si="31"/>
        <v>1321.0340427397261</v>
      </c>
      <c r="Y73" s="120"/>
      <c r="Z73" s="120">
        <v>3932</v>
      </c>
      <c r="AA73" s="94"/>
      <c r="AH73" s="177">
        <v>53</v>
      </c>
      <c r="AI73" s="178" t="s">
        <v>4152</v>
      </c>
      <c r="AJ73" s="178">
        <v>29000000</v>
      </c>
      <c r="AK73" s="177">
        <v>15</v>
      </c>
      <c r="AL73" s="177">
        <f t="shared" si="32"/>
        <v>841</v>
      </c>
      <c r="AM73" s="178">
        <f t="shared" si="10"/>
        <v>24389000000</v>
      </c>
      <c r="AN73" s="177" t="s">
        <v>4162</v>
      </c>
    </row>
    <row r="74" spans="1:40">
      <c r="M74" s="120" t="s">
        <v>4522</v>
      </c>
      <c r="N74" s="94"/>
      <c r="O74" s="271"/>
      <c r="P74" t="s">
        <v>25</v>
      </c>
      <c r="Q74" s="167"/>
      <c r="R74" s="210" t="s">
        <v>6508</v>
      </c>
      <c r="S74" s="195">
        <f>S73-1</f>
        <v>-5</v>
      </c>
      <c r="T74" s="210" t="s">
        <v>6509</v>
      </c>
      <c r="U74" s="210">
        <v>14292</v>
      </c>
      <c r="V74" s="210">
        <f t="shared" si="29"/>
        <v>14454.419769863016</v>
      </c>
      <c r="W74" s="32">
        <f t="shared" si="30"/>
        <v>14743.508165260277</v>
      </c>
      <c r="X74" s="32">
        <f t="shared" si="31"/>
        <v>15032.596560657537</v>
      </c>
      <c r="Y74" s="120"/>
      <c r="Z74" s="120"/>
      <c r="AA74" s="94">
        <v>413</v>
      </c>
      <c r="AC74" t="s">
        <v>25</v>
      </c>
      <c r="AH74" s="20">
        <v>54</v>
      </c>
      <c r="AI74" s="115" t="s">
        <v>4186</v>
      </c>
      <c r="AJ74" s="115">
        <v>-130000</v>
      </c>
      <c r="AK74" s="20">
        <v>7</v>
      </c>
      <c r="AL74" s="97">
        <f t="shared" si="32"/>
        <v>826</v>
      </c>
      <c r="AM74" s="115">
        <f t="shared" si="10"/>
        <v>-107380000</v>
      </c>
      <c r="AN74" s="20" t="s">
        <v>4188</v>
      </c>
    </row>
    <row r="75" spans="1:40" ht="30">
      <c r="G75" s="94"/>
      <c r="H75" s="94"/>
      <c r="M75" s="203" t="s">
        <v>4625</v>
      </c>
      <c r="N75" s="94"/>
      <c r="P75" s="113"/>
      <c r="Q75" s="167"/>
      <c r="R75" s="210" t="s">
        <v>25</v>
      </c>
      <c r="S75" s="195"/>
      <c r="T75" s="210"/>
      <c r="U75" s="210"/>
      <c r="V75" s="210">
        <f>U75*(1+$R$104+$Q$15*S75/36500)</f>
        <v>0</v>
      </c>
      <c r="W75" s="32">
        <f t="shared" si="30"/>
        <v>0</v>
      </c>
      <c r="X75" s="32">
        <f t="shared" si="31"/>
        <v>0</v>
      </c>
      <c r="Y75" s="120"/>
      <c r="Z75" s="120"/>
      <c r="AA75" s="94"/>
      <c r="AH75" s="20">
        <v>55</v>
      </c>
      <c r="AI75" s="115" t="s">
        <v>4234</v>
      </c>
      <c r="AJ75" s="115">
        <v>232000</v>
      </c>
      <c r="AK75" s="20">
        <v>2</v>
      </c>
      <c r="AL75" s="97">
        <f t="shared" si="32"/>
        <v>819</v>
      </c>
      <c r="AM75" s="115">
        <f>AJ75*AL75</f>
        <v>190008000</v>
      </c>
      <c r="AN75" s="20" t="s">
        <v>4236</v>
      </c>
    </row>
    <row r="76" spans="1:40" ht="31.5">
      <c r="D76" s="3"/>
      <c r="E76" s="11" t="s">
        <v>304</v>
      </c>
      <c r="G76" s="94"/>
      <c r="H76" s="94"/>
      <c r="K76" s="209" t="s">
        <v>4668</v>
      </c>
      <c r="L76" s="22" t="s">
        <v>4646</v>
      </c>
      <c r="M76" s="250" t="s">
        <v>4945</v>
      </c>
      <c r="N76" s="94"/>
      <c r="P76" s="113" t="s">
        <v>25</v>
      </c>
      <c r="Q76" s="167" t="s">
        <v>25</v>
      </c>
      <c r="R76" s="166" t="s">
        <v>25</v>
      </c>
      <c r="S76" s="166"/>
      <c r="T76" s="166" t="s">
        <v>25</v>
      </c>
      <c r="U76" s="166"/>
      <c r="V76" s="210">
        <f>U76*(1+$R$104+$Q$15*S76/36500)</f>
        <v>0</v>
      </c>
      <c r="W76" s="32">
        <f t="shared" si="30"/>
        <v>0</v>
      </c>
      <c r="X76" s="32">
        <f t="shared" si="31"/>
        <v>0</v>
      </c>
      <c r="Y76" s="120"/>
      <c r="Z76" s="120" t="s">
        <v>25</v>
      </c>
      <c r="AA76" s="94"/>
      <c r="AH76" s="20">
        <v>56</v>
      </c>
      <c r="AI76" s="115" t="s">
        <v>4244</v>
      </c>
      <c r="AJ76" s="115">
        <v>-170000</v>
      </c>
      <c r="AK76" s="20">
        <v>3</v>
      </c>
      <c r="AL76" s="97">
        <f t="shared" si="32"/>
        <v>817</v>
      </c>
      <c r="AM76" s="115">
        <f t="shared" si="10"/>
        <v>-138890000</v>
      </c>
      <c r="AN76" s="20"/>
    </row>
    <row r="77" spans="1:40">
      <c r="D77" s="1" t="s">
        <v>305</v>
      </c>
      <c r="E77" s="1">
        <v>70000</v>
      </c>
      <c r="G77" s="94"/>
      <c r="H77" s="94"/>
      <c r="K77" t="s">
        <v>4669</v>
      </c>
      <c r="M77" s="120"/>
      <c r="O77" t="s">
        <v>25</v>
      </c>
      <c r="P77" s="113"/>
      <c r="Q77" s="167">
        <f>SUM(N21:N24)-SUM(Q20:Q76)</f>
        <v>969699052.67580938</v>
      </c>
      <c r="R77" s="166" t="s">
        <v>25</v>
      </c>
      <c r="S77" s="166" t="s">
        <v>25</v>
      </c>
      <c r="T77" s="166" t="s">
        <v>25</v>
      </c>
      <c r="U77" s="166"/>
      <c r="V77" s="166"/>
      <c r="W77" s="32"/>
      <c r="X77" s="32"/>
      <c r="Z77" s="120"/>
      <c r="AH77" s="20">
        <v>57</v>
      </c>
      <c r="AI77" s="115" t="s">
        <v>4258</v>
      </c>
      <c r="AJ77" s="115">
        <v>-300000</v>
      </c>
      <c r="AK77" s="20">
        <v>3</v>
      </c>
      <c r="AL77" s="97">
        <f t="shared" si="32"/>
        <v>814</v>
      </c>
      <c r="AM77" s="115">
        <f t="shared" si="10"/>
        <v>-244200000</v>
      </c>
      <c r="AN77" s="20"/>
    </row>
    <row r="78" spans="1:40">
      <c r="D78" s="1" t="s">
        <v>321</v>
      </c>
      <c r="E78" s="1">
        <v>100000</v>
      </c>
      <c r="G78" s="94"/>
      <c r="H78" s="94"/>
      <c r="K78" t="s">
        <v>4525</v>
      </c>
      <c r="L78" s="94"/>
      <c r="M78" s="94"/>
      <c r="N78" s="94"/>
      <c r="P78" s="114"/>
      <c r="R78" s="113" t="s">
        <v>25</v>
      </c>
      <c r="S78" s="113" t="s">
        <v>25</v>
      </c>
      <c r="T78" s="120" t="s">
        <v>25</v>
      </c>
      <c r="U78" s="113" t="s">
        <v>25</v>
      </c>
      <c r="V78" s="113" t="s">
        <v>25</v>
      </c>
      <c r="W78" s="192" t="s">
        <v>25</v>
      </c>
      <c r="X78" s="192"/>
      <c r="Z78" s="120" t="s">
        <v>25</v>
      </c>
      <c r="AA78" t="s">
        <v>25</v>
      </c>
      <c r="AD78" s="113"/>
      <c r="AE78" s="113"/>
      <c r="AH78" s="20">
        <v>58</v>
      </c>
      <c r="AI78" s="115" t="s">
        <v>4267</v>
      </c>
      <c r="AJ78" s="115">
        <v>-11400000</v>
      </c>
      <c r="AK78" s="20">
        <v>13</v>
      </c>
      <c r="AL78" s="97">
        <f t="shared" ref="AL78:AL83" si="33">AL79+AK78</f>
        <v>811</v>
      </c>
      <c r="AM78" s="115">
        <f t="shared" si="10"/>
        <v>-9245400000</v>
      </c>
      <c r="AN78" s="20"/>
    </row>
    <row r="79" spans="1:40">
      <c r="D79" s="1" t="s">
        <v>306</v>
      </c>
      <c r="E79" s="1">
        <v>80000</v>
      </c>
      <c r="G79" s="94"/>
      <c r="H79" s="94"/>
      <c r="K79" t="s">
        <v>4727</v>
      </c>
      <c r="P79" s="113"/>
      <c r="Q79" s="94" t="s">
        <v>25</v>
      </c>
      <c r="R79" s="113" t="s">
        <v>25</v>
      </c>
      <c r="S79" s="113"/>
      <c r="T79" s="113" t="s">
        <v>25</v>
      </c>
      <c r="U79" s="113" t="s">
        <v>25</v>
      </c>
      <c r="V79" s="120" t="s">
        <v>25</v>
      </c>
      <c r="W79" s="192"/>
      <c r="X79" s="192" t="s">
        <v>25</v>
      </c>
      <c r="Y79" s="120" t="s">
        <v>25</v>
      </c>
      <c r="Z79" s="120" t="s">
        <v>25</v>
      </c>
      <c r="AA79" t="s">
        <v>25</v>
      </c>
      <c r="AC79" s="113"/>
      <c r="AD79" s="113"/>
      <c r="AE79" s="113"/>
      <c r="AF79"/>
      <c r="AH79" s="20">
        <v>59</v>
      </c>
      <c r="AI79" s="115" t="s">
        <v>4316</v>
      </c>
      <c r="AJ79" s="115">
        <v>-10000000</v>
      </c>
      <c r="AK79" s="20">
        <v>1</v>
      </c>
      <c r="AL79" s="97">
        <f t="shared" si="33"/>
        <v>798</v>
      </c>
      <c r="AM79" s="115">
        <f>AJ79*AL79</f>
        <v>-7980000000</v>
      </c>
      <c r="AN79" s="20"/>
    </row>
    <row r="80" spans="1:40">
      <c r="D80" s="31" t="s">
        <v>307</v>
      </c>
      <c r="E80" s="1">
        <v>150000</v>
      </c>
      <c r="G80" s="94"/>
      <c r="H80" s="94"/>
      <c r="K80" t="s">
        <v>4728</v>
      </c>
      <c r="N80" t="s">
        <v>5745</v>
      </c>
      <c r="P80" s="113"/>
      <c r="Q80" s="166" t="s">
        <v>650</v>
      </c>
      <c r="R80" s="166"/>
      <c r="S80" s="166"/>
      <c r="T80" s="166"/>
      <c r="U80" s="166"/>
      <c r="V80" s="166"/>
      <c r="W80" s="32"/>
      <c r="X80" s="32"/>
      <c r="Z80" t="s">
        <v>25</v>
      </c>
      <c r="AA80" s="113"/>
      <c r="AC80" s="113"/>
      <c r="AD80" s="113"/>
      <c r="AE80" s="113"/>
      <c r="AF80"/>
      <c r="AH80" s="20">
        <v>60</v>
      </c>
      <c r="AI80" s="115" t="s">
        <v>4317</v>
      </c>
      <c r="AJ80" s="115">
        <v>-2450000</v>
      </c>
      <c r="AK80" s="20">
        <v>5</v>
      </c>
      <c r="AL80" s="97">
        <f t="shared" si="33"/>
        <v>797</v>
      </c>
      <c r="AM80" s="115">
        <f>AJ80*AL80</f>
        <v>-1952650000</v>
      </c>
      <c r="AN80" s="20"/>
    </row>
    <row r="81" spans="4:52" ht="32.25">
      <c r="D81" s="31" t="s">
        <v>308</v>
      </c>
      <c r="E81" s="1">
        <v>300000</v>
      </c>
      <c r="G81" s="94"/>
      <c r="H81" s="94"/>
      <c r="J81" t="s">
        <v>25</v>
      </c>
      <c r="K81" t="s">
        <v>4729</v>
      </c>
      <c r="M81" s="247"/>
      <c r="N81" t="s">
        <v>5744</v>
      </c>
      <c r="Q81" s="166" t="s">
        <v>267</v>
      </c>
      <c r="R81" s="166" t="s">
        <v>180</v>
      </c>
      <c r="S81" s="166" t="s">
        <v>183</v>
      </c>
      <c r="T81" s="166" t="s">
        <v>8</v>
      </c>
      <c r="U81" s="166" t="s">
        <v>4332</v>
      </c>
      <c r="V81" s="71" t="s">
        <v>4334</v>
      </c>
      <c r="W81" s="32">
        <v>2</v>
      </c>
      <c r="X81" s="32">
        <v>4</v>
      </c>
      <c r="AA81" s="113" t="s">
        <v>25</v>
      </c>
      <c r="AD81" s="113"/>
      <c r="AE81" s="113"/>
      <c r="AF81" s="113"/>
      <c r="AH81" s="20">
        <v>61</v>
      </c>
      <c r="AI81" s="115" t="s">
        <v>4341</v>
      </c>
      <c r="AJ81" s="115">
        <v>-456081</v>
      </c>
      <c r="AK81" s="20">
        <v>1</v>
      </c>
      <c r="AL81" s="97">
        <f t="shared" si="33"/>
        <v>792</v>
      </c>
      <c r="AM81" s="115">
        <f t="shared" si="10"/>
        <v>-361216152</v>
      </c>
      <c r="AN81" s="20"/>
    </row>
    <row r="82" spans="4:52">
      <c r="D82" s="31" t="s">
        <v>309</v>
      </c>
      <c r="E82" s="1">
        <v>100000</v>
      </c>
      <c r="G82" s="94"/>
      <c r="H82" s="94"/>
      <c r="K82" t="s">
        <v>4487</v>
      </c>
      <c r="Q82" s="166">
        <v>0</v>
      </c>
      <c r="R82" s="166" t="s">
        <v>4152</v>
      </c>
      <c r="S82" s="166">
        <f>S108</f>
        <v>934</v>
      </c>
      <c r="T82" s="166"/>
      <c r="U82" s="166"/>
      <c r="V82" s="71"/>
      <c r="W82" s="32"/>
      <c r="X82" s="32"/>
      <c r="AB82" s="113"/>
      <c r="AC82" s="113"/>
      <c r="AD82" s="113"/>
      <c r="AE82" s="113"/>
      <c r="AF82" s="113"/>
      <c r="AH82" s="20">
        <v>62</v>
      </c>
      <c r="AI82" s="115" t="s">
        <v>4343</v>
      </c>
      <c r="AJ82" s="115">
        <v>-500000</v>
      </c>
      <c r="AK82" s="20">
        <v>2</v>
      </c>
      <c r="AL82" s="97">
        <f t="shared" si="33"/>
        <v>791</v>
      </c>
      <c r="AM82" s="115">
        <f t="shared" si="10"/>
        <v>-395500000</v>
      </c>
      <c r="AN82" s="20"/>
      <c r="AO82" t="s">
        <v>25</v>
      </c>
      <c r="AU82"/>
      <c r="AW82" t="s">
        <v>25</v>
      </c>
    </row>
    <row r="83" spans="4:52">
      <c r="D83" s="31" t="s">
        <v>310</v>
      </c>
      <c r="E83" s="1">
        <v>200000</v>
      </c>
      <c r="F83" s="94"/>
      <c r="G83" s="94"/>
      <c r="H83" s="94"/>
      <c r="I83" s="94"/>
      <c r="J83" s="94"/>
      <c r="K83" t="s">
        <v>4528</v>
      </c>
      <c r="M83" s="252" t="s">
        <v>4950</v>
      </c>
      <c r="Q83" s="167">
        <v>863944</v>
      </c>
      <c r="R83" s="166" t="s">
        <v>4397</v>
      </c>
      <c r="S83" s="166">
        <f>S82-62</f>
        <v>872</v>
      </c>
      <c r="T83" s="188" t="s">
        <v>4458</v>
      </c>
      <c r="U83" s="166">
        <v>184.6</v>
      </c>
      <c r="V83" s="166">
        <f t="shared" ref="V83:V97" si="34">U83*(1+$R$104+$Q$15*S83/36500)</f>
        <v>310.89067616438359</v>
      </c>
      <c r="W83" s="32">
        <f t="shared" ref="W83:W90" si="35">V83*(1+$W$19/100)</f>
        <v>317.10848968767129</v>
      </c>
      <c r="X83" s="32">
        <f t="shared" ref="X83:X90" si="36">V83*(1+$X$19/100)</f>
        <v>323.32630321095894</v>
      </c>
      <c r="Y83" s="94">
        <v>4661</v>
      </c>
      <c r="AA83" s="113"/>
      <c r="AB83" s="113"/>
      <c r="AC83" s="126"/>
      <c r="AD83" s="113"/>
      <c r="AE83" s="113"/>
      <c r="AF83" s="113"/>
      <c r="AH83" s="20">
        <v>63</v>
      </c>
      <c r="AI83" s="115" t="s">
        <v>4359</v>
      </c>
      <c r="AJ83" s="115">
        <v>-6234370</v>
      </c>
      <c r="AK83" s="20">
        <v>3</v>
      </c>
      <c r="AL83" s="97">
        <f t="shared" si="33"/>
        <v>789</v>
      </c>
      <c r="AM83" s="115">
        <f t="shared" si="10"/>
        <v>-4918917930</v>
      </c>
      <c r="AN83" s="20"/>
      <c r="AU83"/>
    </row>
    <row r="84" spans="4:52">
      <c r="D84" s="18" t="s">
        <v>311</v>
      </c>
      <c r="E84" s="18">
        <v>300000</v>
      </c>
      <c r="F84" s="94"/>
      <c r="G84" s="94"/>
      <c r="H84" s="94"/>
      <c r="I84" s="94"/>
      <c r="J84" s="94"/>
      <c r="K84" t="s">
        <v>4486</v>
      </c>
      <c r="M84" s="252" t="s">
        <v>4951</v>
      </c>
      <c r="Q84" s="167">
        <v>1692313</v>
      </c>
      <c r="R84" s="166" t="s">
        <v>4461</v>
      </c>
      <c r="S84" s="195">
        <f>S83-21</f>
        <v>851</v>
      </c>
      <c r="T84" s="187" t="s">
        <v>4462</v>
      </c>
      <c r="U84" s="166">
        <v>168.5</v>
      </c>
      <c r="V84" s="166">
        <f t="shared" si="34"/>
        <v>281.06169315068496</v>
      </c>
      <c r="W84" s="32">
        <f t="shared" si="35"/>
        <v>286.68292701369865</v>
      </c>
      <c r="X84" s="32">
        <f t="shared" si="36"/>
        <v>292.30416087671239</v>
      </c>
      <c r="Y84" s="94">
        <v>10000</v>
      </c>
      <c r="AA84" s="113"/>
      <c r="AB84" s="113"/>
      <c r="AC84" s="126"/>
      <c r="AD84" s="113"/>
      <c r="AE84" s="113"/>
      <c r="AF84" s="113"/>
      <c r="AH84" s="20">
        <v>64</v>
      </c>
      <c r="AI84" s="115" t="s">
        <v>4368</v>
      </c>
      <c r="AJ84" s="115">
        <v>1950957</v>
      </c>
      <c r="AK84" s="20">
        <v>4</v>
      </c>
      <c r="AL84" s="97">
        <f t="shared" si="32"/>
        <v>786</v>
      </c>
      <c r="AM84" s="115">
        <f t="shared" si="10"/>
        <v>1533452202</v>
      </c>
      <c r="AN84" s="20"/>
      <c r="AZ84" t="s">
        <v>25</v>
      </c>
    </row>
    <row r="85" spans="4:52">
      <c r="D85" s="32" t="s">
        <v>312</v>
      </c>
      <c r="E85" s="1">
        <v>200000</v>
      </c>
      <c r="F85" s="94"/>
      <c r="G85" s="94"/>
      <c r="H85" s="94"/>
      <c r="I85" s="94"/>
      <c r="J85" s="94"/>
      <c r="K85" s="22" t="s">
        <v>4219</v>
      </c>
      <c r="Q85" s="167">
        <v>101153</v>
      </c>
      <c r="R85" s="166" t="s">
        <v>4464</v>
      </c>
      <c r="S85" s="195">
        <f>S84-1</f>
        <v>850</v>
      </c>
      <c r="T85" s="187" t="s">
        <v>4466</v>
      </c>
      <c r="U85" s="166">
        <v>166.7</v>
      </c>
      <c r="V85" s="166">
        <f t="shared" si="34"/>
        <v>277.93137424657533</v>
      </c>
      <c r="W85" s="32">
        <f t="shared" si="35"/>
        <v>283.49000173150682</v>
      </c>
      <c r="X85" s="32">
        <f t="shared" si="36"/>
        <v>289.04862921643837</v>
      </c>
      <c r="Y85" s="94">
        <v>604</v>
      </c>
      <c r="AA85" s="120" t="s">
        <v>25</v>
      </c>
      <c r="AB85" s="113"/>
      <c r="AC85" s="126"/>
      <c r="AD85" s="113"/>
      <c r="AE85" s="113"/>
      <c r="AF85" s="113"/>
      <c r="AH85" s="20">
        <v>65</v>
      </c>
      <c r="AI85" s="115" t="s">
        <v>4391</v>
      </c>
      <c r="AJ85" s="115">
        <v>600000</v>
      </c>
      <c r="AK85" s="20">
        <v>5</v>
      </c>
      <c r="AL85" s="97">
        <f t="shared" si="32"/>
        <v>782</v>
      </c>
      <c r="AM85" s="115">
        <f t="shared" si="10"/>
        <v>469200000</v>
      </c>
      <c r="AN85" s="20"/>
    </row>
    <row r="86" spans="4:52">
      <c r="D86" s="32" t="s">
        <v>313</v>
      </c>
      <c r="E86" s="1">
        <v>20000</v>
      </c>
      <c r="F86" s="94"/>
      <c r="G86" s="94"/>
      <c r="H86" s="94"/>
      <c r="I86" s="94"/>
      <c r="J86" s="94"/>
      <c r="K86" t="s">
        <v>4483</v>
      </c>
      <c r="Q86" s="167">
        <v>183105</v>
      </c>
      <c r="R86" s="166" t="s">
        <v>4207</v>
      </c>
      <c r="S86" s="195">
        <f>S85-1</f>
        <v>849</v>
      </c>
      <c r="T86" s="187" t="s">
        <v>4470</v>
      </c>
      <c r="U86" s="166">
        <v>166.6</v>
      </c>
      <c r="V86" s="166">
        <f t="shared" si="34"/>
        <v>277.63684602739727</v>
      </c>
      <c r="W86" s="32">
        <f t="shared" si="35"/>
        <v>283.18958294794521</v>
      </c>
      <c r="X86" s="32">
        <f t="shared" si="36"/>
        <v>288.74231986849315</v>
      </c>
      <c r="Y86" s="94">
        <v>1094</v>
      </c>
      <c r="AA86" s="113" t="s">
        <v>25</v>
      </c>
      <c r="AB86" s="113"/>
      <c r="AC86" s="126"/>
      <c r="AD86" s="113"/>
      <c r="AE86" s="113"/>
      <c r="AF86" s="113"/>
      <c r="AH86" s="20">
        <v>66</v>
      </c>
      <c r="AI86" s="115" t="s">
        <v>4399</v>
      </c>
      <c r="AJ86" s="115">
        <v>7500000</v>
      </c>
      <c r="AK86" s="20">
        <v>2</v>
      </c>
      <c r="AL86" s="97">
        <f t="shared" si="32"/>
        <v>777</v>
      </c>
      <c r="AM86" s="115">
        <f t="shared" si="10"/>
        <v>5827500000</v>
      </c>
      <c r="AN86" s="20"/>
      <c r="AS86" s="94"/>
    </row>
    <row r="87" spans="4:52" ht="18.75">
      <c r="D87" s="32" t="s">
        <v>315</v>
      </c>
      <c r="E87" s="1">
        <v>50000</v>
      </c>
      <c r="G87" s="94"/>
      <c r="H87" s="94"/>
      <c r="K87" t="s">
        <v>4271</v>
      </c>
      <c r="M87" s="310" t="s">
        <v>5609</v>
      </c>
      <c r="Q87" s="167">
        <v>168846</v>
      </c>
      <c r="R87" s="166" t="s">
        <v>3675</v>
      </c>
      <c r="S87" s="195">
        <f>S86-30</f>
        <v>819</v>
      </c>
      <c r="T87" s="187" t="s">
        <v>4556</v>
      </c>
      <c r="U87" s="166">
        <v>172.2</v>
      </c>
      <c r="V87" s="166">
        <f t="shared" si="34"/>
        <v>283.00621808219177</v>
      </c>
      <c r="W87" s="32">
        <f t="shared" si="35"/>
        <v>288.66634244383562</v>
      </c>
      <c r="X87" s="32">
        <f t="shared" si="36"/>
        <v>294.32646680547947</v>
      </c>
      <c r="Y87" s="94">
        <v>976</v>
      </c>
      <c r="AA87" s="113"/>
      <c r="AB87" s="113"/>
      <c r="AC87" s="126"/>
      <c r="AD87" s="113"/>
      <c r="AE87" s="113"/>
      <c r="AF87" s="113"/>
      <c r="AH87" s="20">
        <v>67</v>
      </c>
      <c r="AI87" s="115" t="s">
        <v>4403</v>
      </c>
      <c r="AJ87" s="115">
        <v>-587816</v>
      </c>
      <c r="AK87" s="20">
        <v>3</v>
      </c>
      <c r="AL87" s="97">
        <f t="shared" si="32"/>
        <v>775</v>
      </c>
      <c r="AM87" s="115">
        <f t="shared" si="10"/>
        <v>-455557400</v>
      </c>
      <c r="AN87" s="20"/>
      <c r="AS87" s="94"/>
    </row>
    <row r="88" spans="4:52">
      <c r="D88" s="32" t="s">
        <v>316</v>
      </c>
      <c r="E88" s="1">
        <v>90000</v>
      </c>
      <c r="F88" s="94"/>
      <c r="G88" s="94"/>
      <c r="H88" s="94"/>
      <c r="I88" s="94"/>
      <c r="J88" s="94"/>
      <c r="K88" t="s">
        <v>25</v>
      </c>
      <c r="M88" s="191"/>
      <c r="Q88" s="167">
        <v>19918023</v>
      </c>
      <c r="R88" s="5" t="s">
        <v>4787</v>
      </c>
      <c r="S88" s="195">
        <f>S87-75</f>
        <v>744</v>
      </c>
      <c r="T88" s="187" t="s">
        <v>4789</v>
      </c>
      <c r="U88" s="210">
        <v>183</v>
      </c>
      <c r="V88" s="210">
        <f t="shared" si="34"/>
        <v>290.22696986301372</v>
      </c>
      <c r="W88" s="32">
        <f t="shared" si="35"/>
        <v>296.03150926027399</v>
      </c>
      <c r="X88" s="32">
        <f t="shared" si="36"/>
        <v>301.83604865753426</v>
      </c>
      <c r="Y88" s="94">
        <v>108344</v>
      </c>
      <c r="Z88" s="113"/>
      <c r="AA88" s="113"/>
      <c r="AB88" s="113"/>
      <c r="AC88" s="126"/>
      <c r="AD88" s="113"/>
      <c r="AE88" s="113"/>
      <c r="AF88" s="113"/>
      <c r="AH88" s="20">
        <v>68</v>
      </c>
      <c r="AI88" s="115" t="s">
        <v>4402</v>
      </c>
      <c r="AJ88" s="115">
        <v>-907489</v>
      </c>
      <c r="AK88" s="20">
        <v>0</v>
      </c>
      <c r="AL88" s="97">
        <f>AL89+AK88</f>
        <v>772</v>
      </c>
      <c r="AM88" s="115">
        <f t="shared" si="10"/>
        <v>-700581508</v>
      </c>
      <c r="AN88" s="20"/>
      <c r="AP88" t="s">
        <v>25</v>
      </c>
      <c r="AV88" t="s">
        <v>25</v>
      </c>
    </row>
    <row r="89" spans="4:52">
      <c r="D89" s="32" t="s">
        <v>317</v>
      </c>
      <c r="E89" s="1">
        <v>50000</v>
      </c>
      <c r="K89" s="94"/>
      <c r="Q89" s="167">
        <v>1200301</v>
      </c>
      <c r="R89" s="19" t="s">
        <v>4869</v>
      </c>
      <c r="S89" s="195">
        <f>S88-34</f>
        <v>710</v>
      </c>
      <c r="T89" s="187" t="s">
        <v>4871</v>
      </c>
      <c r="U89" s="210">
        <v>218.5</v>
      </c>
      <c r="V89" s="210">
        <f t="shared" si="34"/>
        <v>340.82887123287674</v>
      </c>
      <c r="W89" s="32">
        <f t="shared" si="35"/>
        <v>347.6454486575343</v>
      </c>
      <c r="X89" s="32">
        <f t="shared" si="36"/>
        <v>354.46202608219181</v>
      </c>
      <c r="Y89" s="94">
        <v>5468</v>
      </c>
      <c r="Z89" s="113"/>
      <c r="AA89" s="113"/>
      <c r="AB89" s="113"/>
      <c r="AC89" s="113" t="s">
        <v>25</v>
      </c>
      <c r="AD89" s="113"/>
      <c r="AE89" s="113"/>
      <c r="AF89" s="113"/>
      <c r="AG89" s="113"/>
      <c r="AH89" s="20">
        <v>69</v>
      </c>
      <c r="AI89" s="115" t="s">
        <v>4402</v>
      </c>
      <c r="AJ89" s="115">
        <v>2450000</v>
      </c>
      <c r="AK89" s="20">
        <v>1</v>
      </c>
      <c r="AL89" s="97">
        <f t="shared" si="32"/>
        <v>772</v>
      </c>
      <c r="AM89" s="115">
        <f t="shared" si="10"/>
        <v>1891400000</v>
      </c>
      <c r="AN89" s="20" t="s">
        <v>4433</v>
      </c>
      <c r="AQ89" t="s">
        <v>25</v>
      </c>
      <c r="AR89" t="s">
        <v>25</v>
      </c>
    </row>
    <row r="90" spans="4:52">
      <c r="D90" s="32" t="s">
        <v>327</v>
      </c>
      <c r="E90" s="1">
        <v>150000</v>
      </c>
      <c r="F90" s="94"/>
      <c r="G90" s="94"/>
      <c r="H90" s="94"/>
      <c r="K90" s="94"/>
      <c r="Q90" s="167">
        <v>5837196.2537021004</v>
      </c>
      <c r="R90" s="19" t="s">
        <v>4894</v>
      </c>
      <c r="S90" s="195">
        <f>S89-16</f>
        <v>694</v>
      </c>
      <c r="T90" s="187" t="s">
        <v>5639</v>
      </c>
      <c r="U90" s="210">
        <v>196.2</v>
      </c>
      <c r="V90" s="210">
        <f t="shared" si="34"/>
        <v>303.6358947945206</v>
      </c>
      <c r="W90" s="32">
        <f t="shared" si="35"/>
        <v>309.70861269041103</v>
      </c>
      <c r="X90" s="32">
        <f t="shared" si="36"/>
        <v>315.78133058630141</v>
      </c>
      <c r="Y90" s="94">
        <v>29619</v>
      </c>
      <c r="Z90" s="113"/>
      <c r="AA90" s="113"/>
      <c r="AB90" s="113"/>
      <c r="AC90" s="113"/>
      <c r="AD90" s="113"/>
      <c r="AE90"/>
      <c r="AG90" s="113"/>
      <c r="AH90" s="20">
        <v>70</v>
      </c>
      <c r="AI90" s="115" t="s">
        <v>4435</v>
      </c>
      <c r="AJ90" s="115">
        <v>1500000</v>
      </c>
      <c r="AK90" s="20">
        <v>1</v>
      </c>
      <c r="AL90" s="97">
        <f t="shared" si="32"/>
        <v>771</v>
      </c>
      <c r="AM90" s="115">
        <f t="shared" si="10"/>
        <v>1156500000</v>
      </c>
      <c r="AN90" s="20"/>
      <c r="AP90" t="s">
        <v>25</v>
      </c>
      <c r="AU90" s="94" t="s">
        <v>25</v>
      </c>
    </row>
    <row r="91" spans="4:52">
      <c r="D91" s="32" t="s">
        <v>318</v>
      </c>
      <c r="E91" s="1">
        <v>15000</v>
      </c>
      <c r="F91" s="94"/>
      <c r="G91" s="94"/>
      <c r="H91" s="94"/>
      <c r="I91" s="94"/>
      <c r="J91" s="94" t="s">
        <v>25</v>
      </c>
      <c r="K91" s="94"/>
      <c r="Q91" s="167">
        <v>2948152</v>
      </c>
      <c r="R91" s="19" t="s">
        <v>5675</v>
      </c>
      <c r="S91" s="195">
        <f>S90-498</f>
        <v>196</v>
      </c>
      <c r="T91" s="187" t="s">
        <v>5676</v>
      </c>
      <c r="U91" s="210">
        <v>1550</v>
      </c>
      <c r="V91" s="210">
        <f t="shared" si="34"/>
        <v>1806.6120547945206</v>
      </c>
      <c r="W91" s="32">
        <f t="shared" ref="W91:W99" si="37">V91*(1+$W$19/100)</f>
        <v>1842.7442958904112</v>
      </c>
      <c r="X91" s="32">
        <f t="shared" ref="X91:X99" si="38">V91*(1+$X$19/100)</f>
        <v>1878.8765369863015</v>
      </c>
      <c r="Y91" s="94">
        <v>1895</v>
      </c>
      <c r="AE91"/>
      <c r="AG91" s="94"/>
      <c r="AH91" s="20">
        <v>71</v>
      </c>
      <c r="AI91" s="115" t="s">
        <v>4441</v>
      </c>
      <c r="AJ91" s="115">
        <v>2648000</v>
      </c>
      <c r="AK91" s="20">
        <v>1</v>
      </c>
      <c r="AL91" s="97">
        <f t="shared" si="32"/>
        <v>770</v>
      </c>
      <c r="AM91" s="115">
        <f t="shared" si="10"/>
        <v>2038960000</v>
      </c>
      <c r="AN91" s="20" t="s">
        <v>4442</v>
      </c>
      <c r="AU91" s="94" t="s">
        <v>25</v>
      </c>
    </row>
    <row r="92" spans="4:52">
      <c r="D92" s="32" t="s">
        <v>319</v>
      </c>
      <c r="E92" s="1">
        <v>20000</v>
      </c>
      <c r="F92" s="94"/>
      <c r="G92" s="94"/>
      <c r="H92" s="94"/>
      <c r="I92" s="94"/>
      <c r="J92" s="94"/>
      <c r="K92" s="94"/>
      <c r="M92" s="94"/>
      <c r="Q92" s="167"/>
      <c r="R92" s="19" t="s">
        <v>5785</v>
      </c>
      <c r="S92" s="195">
        <f>S91-83</f>
        <v>113</v>
      </c>
      <c r="T92" s="187" t="s">
        <v>5787</v>
      </c>
      <c r="U92" s="210">
        <v>1275</v>
      </c>
      <c r="V92" s="210">
        <f t="shared" si="34"/>
        <v>1404.9032876712331</v>
      </c>
      <c r="W92" s="32">
        <f t="shared" si="37"/>
        <v>1433.0013534246577</v>
      </c>
      <c r="X92" s="32">
        <f t="shared" si="38"/>
        <v>1461.0994191780824</v>
      </c>
      <c r="Y92" s="94">
        <v>48654</v>
      </c>
      <c r="AE92"/>
      <c r="AG92" s="94"/>
      <c r="AH92" s="20">
        <v>72</v>
      </c>
      <c r="AI92" s="115" t="s">
        <v>4208</v>
      </c>
      <c r="AJ92" s="115">
        <v>615000</v>
      </c>
      <c r="AK92" s="20">
        <v>4</v>
      </c>
      <c r="AL92" s="97">
        <f t="shared" si="32"/>
        <v>769</v>
      </c>
      <c r="AM92" s="115">
        <f t="shared" si="10"/>
        <v>472935000</v>
      </c>
      <c r="AN92" s="20"/>
      <c r="AV92" t="s">
        <v>25</v>
      </c>
    </row>
    <row r="93" spans="4:52">
      <c r="D93" s="32" t="s">
        <v>320</v>
      </c>
      <c r="E93" s="1">
        <v>40000</v>
      </c>
      <c r="F93" s="94"/>
      <c r="G93" s="94"/>
      <c r="H93" s="94"/>
      <c r="I93" s="94"/>
      <c r="J93" s="94" t="s">
        <v>25</v>
      </c>
      <c r="K93" s="94"/>
      <c r="L93" s="94"/>
      <c r="M93" s="94"/>
      <c r="Q93" s="167"/>
      <c r="R93" s="19" t="s">
        <v>5797</v>
      </c>
      <c r="S93" s="195">
        <f>S92-5</f>
        <v>108</v>
      </c>
      <c r="T93" s="187" t="s">
        <v>5799</v>
      </c>
      <c r="U93" s="210">
        <v>1210</v>
      </c>
      <c r="V93" s="210">
        <f t="shared" si="34"/>
        <v>1328.6396712328769</v>
      </c>
      <c r="W93" s="32">
        <f t="shared" si="37"/>
        <v>1355.2124646575346</v>
      </c>
      <c r="X93" s="32">
        <f t="shared" si="38"/>
        <v>1381.7852580821921</v>
      </c>
      <c r="Y93" s="94">
        <v>450</v>
      </c>
      <c r="Z93" s="94"/>
      <c r="AA93" s="94"/>
      <c r="AE93"/>
      <c r="AG93" s="94"/>
      <c r="AH93" s="20">
        <v>73</v>
      </c>
      <c r="AI93" s="115" t="s">
        <v>4452</v>
      </c>
      <c r="AJ93" s="115">
        <v>14000000</v>
      </c>
      <c r="AK93" s="20">
        <v>2</v>
      </c>
      <c r="AL93" s="97">
        <f>AL94+AK93</f>
        <v>765</v>
      </c>
      <c r="AM93" s="115">
        <f t="shared" si="10"/>
        <v>10710000000</v>
      </c>
      <c r="AN93" s="20"/>
    </row>
    <row r="94" spans="4:52">
      <c r="D94" s="32" t="s">
        <v>322</v>
      </c>
      <c r="E94" s="1">
        <v>150000</v>
      </c>
      <c r="F94" s="94"/>
      <c r="G94" s="94"/>
      <c r="H94" s="94"/>
      <c r="I94" s="94"/>
      <c r="J94" s="94"/>
      <c r="K94" s="94"/>
      <c r="L94" s="94"/>
      <c r="Q94" s="167"/>
      <c r="R94" s="19" t="s">
        <v>5804</v>
      </c>
      <c r="S94" s="195">
        <f>S93-4</f>
        <v>104</v>
      </c>
      <c r="T94" s="187" t="s">
        <v>5805</v>
      </c>
      <c r="U94" s="210">
        <v>1175</v>
      </c>
      <c r="V94" s="210">
        <f t="shared" si="34"/>
        <v>1286.6024657534247</v>
      </c>
      <c r="W94" s="32">
        <f t="shared" si="37"/>
        <v>1312.3345150684931</v>
      </c>
      <c r="X94" s="32">
        <f t="shared" si="38"/>
        <v>1338.0665643835616</v>
      </c>
      <c r="Y94" s="94">
        <v>27754</v>
      </c>
      <c r="Z94" s="94"/>
      <c r="AA94" s="94"/>
      <c r="AH94" s="20">
        <v>74</v>
      </c>
      <c r="AI94" s="115" t="s">
        <v>4456</v>
      </c>
      <c r="AJ94" s="115">
        <v>1313000</v>
      </c>
      <c r="AK94" s="20">
        <v>0</v>
      </c>
      <c r="AL94" s="97">
        <f>AL95+AK94</f>
        <v>763</v>
      </c>
      <c r="AM94" s="115">
        <f t="shared" si="10"/>
        <v>1001819000</v>
      </c>
      <c r="AN94" s="20"/>
      <c r="AQ94" t="s">
        <v>25</v>
      </c>
    </row>
    <row r="95" spans="4:52">
      <c r="D95" s="32" t="s">
        <v>324</v>
      </c>
      <c r="E95" s="1">
        <v>75000</v>
      </c>
      <c r="F95" s="94"/>
      <c r="G95" s="94"/>
      <c r="H95" s="94"/>
      <c r="I95" s="94"/>
      <c r="J95" s="94" t="s">
        <v>25</v>
      </c>
      <c r="K95" s="94"/>
      <c r="Q95" s="167"/>
      <c r="R95" s="19" t="s">
        <v>5806</v>
      </c>
      <c r="S95" s="195">
        <f>S94-3</f>
        <v>101</v>
      </c>
      <c r="T95" s="187" t="s">
        <v>5809</v>
      </c>
      <c r="U95" s="210">
        <v>1148</v>
      </c>
      <c r="V95" s="210">
        <f t="shared" si="34"/>
        <v>1254.3960109589043</v>
      </c>
      <c r="W95" s="32">
        <f t="shared" si="37"/>
        <v>1279.4839311780825</v>
      </c>
      <c r="X95" s="32">
        <f t="shared" si="38"/>
        <v>1304.5718513972606</v>
      </c>
      <c r="Y95" s="94">
        <v>8020</v>
      </c>
      <c r="Z95" s="94"/>
      <c r="AA95" s="94"/>
      <c r="AH95" s="97">
        <v>75</v>
      </c>
      <c r="AI95" s="111" t="s">
        <v>4456</v>
      </c>
      <c r="AJ95" s="111">
        <v>2269000</v>
      </c>
      <c r="AK95" s="97">
        <v>1</v>
      </c>
      <c r="AL95" s="97">
        <f t="shared" ref="AL95:AL120" si="39">AL96+AK95</f>
        <v>763</v>
      </c>
      <c r="AM95" s="115">
        <f t="shared" si="10"/>
        <v>1731247000</v>
      </c>
      <c r="AN95" s="97"/>
    </row>
    <row r="96" spans="4:52">
      <c r="D96" s="32" t="s">
        <v>314</v>
      </c>
      <c r="E96" s="1">
        <v>140000</v>
      </c>
      <c r="F96" s="94"/>
      <c r="G96" s="94"/>
      <c r="H96" s="94"/>
      <c r="I96" s="94" t="s">
        <v>25</v>
      </c>
      <c r="J96" s="94" t="s">
        <v>25</v>
      </c>
      <c r="K96" s="94"/>
      <c r="Q96" s="167"/>
      <c r="R96" s="19" t="s">
        <v>5812</v>
      </c>
      <c r="S96" s="195">
        <f>S95-1</f>
        <v>100</v>
      </c>
      <c r="T96" s="187" t="s">
        <v>5813</v>
      </c>
      <c r="U96" s="210">
        <v>1141</v>
      </c>
      <c r="V96" s="210">
        <f t="shared" si="34"/>
        <v>1245.8719671232877</v>
      </c>
      <c r="W96" s="32">
        <f t="shared" si="37"/>
        <v>1270.7894064657535</v>
      </c>
      <c r="X96" s="32">
        <f t="shared" si="38"/>
        <v>1295.7068458082192</v>
      </c>
      <c r="Y96" s="94">
        <v>3695</v>
      </c>
      <c r="Z96" s="94"/>
      <c r="AA96" s="94"/>
      <c r="AH96" s="97">
        <v>76</v>
      </c>
      <c r="AI96" s="111" t="s">
        <v>4209</v>
      </c>
      <c r="AJ96" s="111">
        <v>750000</v>
      </c>
      <c r="AK96" s="97">
        <v>4</v>
      </c>
      <c r="AL96" s="97">
        <f t="shared" si="39"/>
        <v>762</v>
      </c>
      <c r="AM96" s="115">
        <f t="shared" si="10"/>
        <v>571500000</v>
      </c>
      <c r="AN96" s="97"/>
      <c r="AQ96" t="s">
        <v>25</v>
      </c>
    </row>
    <row r="97" spans="4:47">
      <c r="D97" s="2" t="s">
        <v>477</v>
      </c>
      <c r="E97" s="3">
        <v>1083333</v>
      </c>
      <c r="F97" s="94"/>
      <c r="G97" s="94"/>
      <c r="H97" s="94"/>
      <c r="I97" s="94"/>
      <c r="J97" s="94"/>
      <c r="K97" s="94"/>
      <c r="Q97" s="167"/>
      <c r="R97" s="19" t="s">
        <v>5810</v>
      </c>
      <c r="S97" s="195">
        <f>S96-1</f>
        <v>99</v>
      </c>
      <c r="T97" s="187" t="s">
        <v>5814</v>
      </c>
      <c r="U97" s="210">
        <v>1171</v>
      </c>
      <c r="V97" s="210">
        <f t="shared" si="34"/>
        <v>1277.7310356164385</v>
      </c>
      <c r="W97" s="32">
        <f t="shared" si="37"/>
        <v>1303.2856563287673</v>
      </c>
      <c r="X97" s="32">
        <f t="shared" si="38"/>
        <v>1328.840277041096</v>
      </c>
      <c r="Y97" s="94">
        <v>58152</v>
      </c>
      <c r="AH97" s="97">
        <v>77</v>
      </c>
      <c r="AI97" s="111" t="s">
        <v>4461</v>
      </c>
      <c r="AJ97" s="111">
        <v>1900000</v>
      </c>
      <c r="AK97" s="97">
        <v>3</v>
      </c>
      <c r="AL97" s="97">
        <f t="shared" si="39"/>
        <v>758</v>
      </c>
      <c r="AM97" s="115">
        <f t="shared" si="10"/>
        <v>1440200000</v>
      </c>
      <c r="AN97" s="97"/>
    </row>
    <row r="98" spans="4:47">
      <c r="D98" s="2"/>
      <c r="E98" s="3"/>
      <c r="F98" s="94"/>
      <c r="G98" s="94"/>
      <c r="H98" s="94"/>
      <c r="I98" s="94" t="s">
        <v>25</v>
      </c>
      <c r="J98" s="94" t="s">
        <v>25</v>
      </c>
      <c r="K98" s="94"/>
      <c r="M98" s="94"/>
      <c r="Q98" s="167"/>
      <c r="R98" s="19" t="s">
        <v>5880</v>
      </c>
      <c r="S98" s="195">
        <f>S97-65</f>
        <v>34</v>
      </c>
      <c r="T98" s="187" t="s">
        <v>5881</v>
      </c>
      <c r="U98" s="210"/>
      <c r="V98" s="210"/>
      <c r="W98" s="32"/>
      <c r="X98" s="32"/>
      <c r="Y98" s="94"/>
      <c r="Z98" s="94">
        <v>26860</v>
      </c>
      <c r="AA98" s="94"/>
      <c r="AH98" s="97">
        <v>78</v>
      </c>
      <c r="AI98" s="111" t="s">
        <v>4474</v>
      </c>
      <c r="AJ98" s="111">
        <v>6400000</v>
      </c>
      <c r="AK98" s="97">
        <v>1</v>
      </c>
      <c r="AL98" s="97">
        <f t="shared" si="39"/>
        <v>755</v>
      </c>
      <c r="AM98" s="115">
        <f t="shared" si="10"/>
        <v>4832000000</v>
      </c>
      <c r="AN98" s="97"/>
    </row>
    <row r="99" spans="4:47">
      <c r="D99" s="2"/>
      <c r="E99" s="3"/>
      <c r="F99" s="94"/>
      <c r="G99" s="94"/>
      <c r="H99" s="94"/>
      <c r="I99" s="94"/>
      <c r="J99" s="94" t="s">
        <v>25</v>
      </c>
      <c r="K99" s="94"/>
      <c r="M99" s="94"/>
      <c r="Q99" s="167"/>
      <c r="R99" s="166"/>
      <c r="S99" s="111"/>
      <c r="T99" s="111"/>
      <c r="U99" s="166" t="s">
        <v>25</v>
      </c>
      <c r="V99" s="210" t="e">
        <f>U99*(1+$R$104+$Q$15*S99/36500)</f>
        <v>#VALUE!</v>
      </c>
      <c r="W99" s="32" t="e">
        <f t="shared" si="37"/>
        <v>#VALUE!</v>
      </c>
      <c r="X99" s="32" t="e">
        <f t="shared" si="38"/>
        <v>#VALUE!</v>
      </c>
      <c r="Z99" t="s">
        <v>25</v>
      </c>
      <c r="AH99" s="97">
        <v>79</v>
      </c>
      <c r="AI99" s="111" t="s">
        <v>4472</v>
      </c>
      <c r="AJ99" s="111">
        <v>5000</v>
      </c>
      <c r="AK99" s="97">
        <v>5</v>
      </c>
      <c r="AL99" s="97">
        <f t="shared" si="39"/>
        <v>754</v>
      </c>
      <c r="AM99" s="115">
        <f t="shared" si="10"/>
        <v>3770000</v>
      </c>
      <c r="AN99" s="97"/>
      <c r="AP99" t="s">
        <v>25</v>
      </c>
    </row>
    <row r="100" spans="4:47">
      <c r="D100" s="2" t="s">
        <v>6</v>
      </c>
      <c r="E100" s="3">
        <f>SUM(E77:E98)</f>
        <v>3383333</v>
      </c>
      <c r="F100" s="94"/>
      <c r="G100" s="94"/>
      <c r="H100" s="94"/>
      <c r="I100" s="94"/>
      <c r="J100" s="94" t="s">
        <v>25</v>
      </c>
      <c r="K100" s="112"/>
      <c r="L100" s="94"/>
      <c r="M100" s="94"/>
      <c r="Q100" s="111">
        <f>SUM(N28:N30)-SUM(Q82:Q99)</f>
        <v>327816276.7462979</v>
      </c>
      <c r="R100" s="166"/>
      <c r="S100" s="166"/>
      <c r="T100" s="166"/>
      <c r="U100" s="166"/>
      <c r="V100" s="166"/>
      <c r="W100" s="32"/>
      <c r="X100" s="32"/>
      <c r="AA100" t="s">
        <v>25</v>
      </c>
      <c r="AH100" s="97">
        <v>80</v>
      </c>
      <c r="AI100" s="111" t="s">
        <v>4503</v>
      </c>
      <c r="AJ100" s="111">
        <v>-1750148</v>
      </c>
      <c r="AK100" s="97">
        <v>1</v>
      </c>
      <c r="AL100" s="97">
        <f t="shared" si="39"/>
        <v>749</v>
      </c>
      <c r="AM100" s="115">
        <f t="shared" si="10"/>
        <v>-1310860852</v>
      </c>
      <c r="AN100" s="97"/>
    </row>
    <row r="101" spans="4:47">
      <c r="D101" s="2" t="s">
        <v>328</v>
      </c>
      <c r="E101" s="3">
        <f>E100/30</f>
        <v>112777.76666666666</v>
      </c>
      <c r="F101" s="94"/>
      <c r="G101" s="94"/>
      <c r="H101" s="94"/>
      <c r="I101" s="94"/>
      <c r="J101" s="94" t="s">
        <v>25</v>
      </c>
      <c r="K101" s="94"/>
      <c r="L101" s="94"/>
      <c r="M101" s="94"/>
      <c r="R101" s="113"/>
      <c r="S101" s="113"/>
      <c r="T101" s="113" t="s">
        <v>25</v>
      </c>
      <c r="U101" s="113" t="s">
        <v>25</v>
      </c>
      <c r="V101" s="113" t="s">
        <v>25</v>
      </c>
      <c r="W101" s="192" t="s">
        <v>25</v>
      </c>
      <c r="X101" s="192"/>
      <c r="AA101" t="s">
        <v>25</v>
      </c>
      <c r="AH101" s="97">
        <v>81</v>
      </c>
      <c r="AI101" s="111" t="s">
        <v>4506</v>
      </c>
      <c r="AJ101" s="111">
        <v>400000</v>
      </c>
      <c r="AK101" s="97">
        <v>0</v>
      </c>
      <c r="AL101" s="97">
        <f t="shared" si="39"/>
        <v>748</v>
      </c>
      <c r="AM101" s="115">
        <f t="shared" si="10"/>
        <v>299200000</v>
      </c>
      <c r="AN101" s="97"/>
    </row>
    <row r="102" spans="4:47">
      <c r="F102" s="94"/>
      <c r="G102" s="94"/>
      <c r="H102" s="94"/>
      <c r="I102" s="94"/>
      <c r="J102" s="94" t="s">
        <v>25</v>
      </c>
      <c r="K102" t="s">
        <v>25</v>
      </c>
      <c r="L102" s="94"/>
      <c r="M102" s="94"/>
      <c r="Q102" s="97" t="s">
        <v>934</v>
      </c>
      <c r="R102" s="97">
        <v>1.03E-2</v>
      </c>
      <c r="S102" s="26" t="s">
        <v>25</v>
      </c>
      <c r="T102" t="s">
        <v>25</v>
      </c>
      <c r="U102" s="94" t="s">
        <v>25</v>
      </c>
      <c r="V102" s="113" t="s">
        <v>25</v>
      </c>
      <c r="W102" s="192" t="s">
        <v>25</v>
      </c>
      <c r="X102" s="192"/>
      <c r="Z102" t="s">
        <v>25</v>
      </c>
      <c r="AH102" s="97">
        <v>82</v>
      </c>
      <c r="AI102" s="111" t="s">
        <v>4506</v>
      </c>
      <c r="AJ102" s="111">
        <v>-2105421</v>
      </c>
      <c r="AK102" s="97">
        <v>1</v>
      </c>
      <c r="AL102" s="97">
        <f t="shared" si="39"/>
        <v>748</v>
      </c>
      <c r="AM102" s="115">
        <f t="shared" si="10"/>
        <v>-1574854908</v>
      </c>
      <c r="AN102" s="97"/>
      <c r="AO102" t="s">
        <v>25</v>
      </c>
    </row>
    <row r="103" spans="4:47">
      <c r="J103" t="s">
        <v>25</v>
      </c>
      <c r="Q103" s="97" t="s">
        <v>61</v>
      </c>
      <c r="R103" s="97">
        <v>4.8999999999999998E-3</v>
      </c>
      <c r="T103" s="112" t="s">
        <v>25</v>
      </c>
      <c r="U103" s="94" t="s">
        <v>25</v>
      </c>
      <c r="V103" t="s">
        <v>25</v>
      </c>
      <c r="W103" s="192" t="s">
        <v>25</v>
      </c>
      <c r="X103" s="192" t="s">
        <v>25</v>
      </c>
      <c r="Y103" s="94"/>
      <c r="Z103" s="94"/>
      <c r="AA103" s="94"/>
      <c r="AH103" s="97">
        <v>83</v>
      </c>
      <c r="AI103" s="111" t="s">
        <v>4509</v>
      </c>
      <c r="AJ103" s="111">
        <v>-5527618</v>
      </c>
      <c r="AK103" s="97">
        <v>0</v>
      </c>
      <c r="AL103" s="97">
        <f t="shared" si="39"/>
        <v>747</v>
      </c>
      <c r="AM103" s="115">
        <f t="shared" si="10"/>
        <v>-4129130646</v>
      </c>
      <c r="AN103" s="97"/>
    </row>
    <row r="104" spans="4:47">
      <c r="Q104" s="97" t="s">
        <v>6</v>
      </c>
      <c r="R104" s="97">
        <f>R102+R103</f>
        <v>1.52E-2</v>
      </c>
      <c r="T104" t="s">
        <v>25</v>
      </c>
      <c r="U104" s="94" t="s">
        <v>25</v>
      </c>
      <c r="V104" t="s">
        <v>25</v>
      </c>
      <c r="W104" s="192"/>
      <c r="X104" s="192"/>
      <c r="Y104" s="94"/>
      <c r="Z104" s="94"/>
      <c r="AA104" s="94"/>
      <c r="AH104" s="97">
        <v>84</v>
      </c>
      <c r="AI104" s="111" t="s">
        <v>4509</v>
      </c>
      <c r="AJ104" s="111">
        <v>3900000</v>
      </c>
      <c r="AK104" s="97">
        <v>3</v>
      </c>
      <c r="AL104" s="97">
        <f t="shared" si="39"/>
        <v>747</v>
      </c>
      <c r="AM104" s="115">
        <f t="shared" si="10"/>
        <v>2913300000</v>
      </c>
      <c r="AN104" s="97"/>
    </row>
    <row r="105" spans="4:47">
      <c r="F105" s="210" t="s">
        <v>4620</v>
      </c>
      <c r="G105" s="210" t="s">
        <v>926</v>
      </c>
      <c r="H105" s="210" t="s">
        <v>4613</v>
      </c>
      <c r="I105" s="210" t="s">
        <v>4612</v>
      </c>
      <c r="J105" s="32" t="s">
        <v>4488</v>
      </c>
      <c r="K105" s="210" t="s">
        <v>4606</v>
      </c>
      <c r="L105" s="32" t="s">
        <v>4608</v>
      </c>
      <c r="M105" s="32" t="s">
        <v>4583</v>
      </c>
      <c r="N105" s="210" t="s">
        <v>4584</v>
      </c>
      <c r="W105" s="192"/>
      <c r="X105" s="192"/>
      <c r="AH105" s="97">
        <v>85</v>
      </c>
      <c r="AI105" s="111" t="s">
        <v>4510</v>
      </c>
      <c r="AJ105" s="111">
        <v>-3969754</v>
      </c>
      <c r="AK105" s="97">
        <v>1</v>
      </c>
      <c r="AL105" s="97">
        <f t="shared" si="39"/>
        <v>744</v>
      </c>
      <c r="AM105" s="115">
        <f t="shared" si="10"/>
        <v>-2953496976</v>
      </c>
      <c r="AN105" s="97"/>
    </row>
    <row r="106" spans="4:47" ht="30">
      <c r="F106" s="197">
        <f>$L$114/G106</f>
        <v>9810.4265402843594</v>
      </c>
      <c r="G106" s="197">
        <f>P48</f>
        <v>1055</v>
      </c>
      <c r="H106" s="197" t="s">
        <v>4712</v>
      </c>
      <c r="I106" s="197" t="s">
        <v>5310</v>
      </c>
      <c r="J106" s="211" t="s">
        <v>4219</v>
      </c>
      <c r="K106" s="197">
        <v>210</v>
      </c>
      <c r="L106" s="212">
        <f t="shared" ref="L106:L111" si="40">K106*$L$114</f>
        <v>2173500000</v>
      </c>
      <c r="M106" s="212">
        <f>N21+N30+N48+N43</f>
        <v>7681466605</v>
      </c>
      <c r="N106" s="181">
        <f t="shared" ref="N106:N111" si="41">L106-M106</f>
        <v>-5507966605</v>
      </c>
      <c r="P106" s="94"/>
      <c r="Q106" s="71" t="s">
        <v>4270</v>
      </c>
      <c r="R106" s="110"/>
      <c r="S106" s="110"/>
      <c r="T106" s="110"/>
      <c r="U106" s="166" t="s">
        <v>4332</v>
      </c>
      <c r="V106" s="36" t="s">
        <v>4334</v>
      </c>
      <c r="W106" s="32"/>
      <c r="X106" s="32"/>
      <c r="Y106" s="94"/>
      <c r="Z106" s="94"/>
      <c r="AA106" s="94"/>
      <c r="AH106" s="97">
        <v>86</v>
      </c>
      <c r="AI106" s="111" t="s">
        <v>4520</v>
      </c>
      <c r="AJ106" s="111">
        <v>-25574455</v>
      </c>
      <c r="AK106" s="97">
        <v>0</v>
      </c>
      <c r="AL106" s="97">
        <f t="shared" si="39"/>
        <v>743</v>
      </c>
      <c r="AM106" s="115">
        <f t="shared" si="10"/>
        <v>-19001820065</v>
      </c>
      <c r="AN106" s="97"/>
      <c r="AP106" t="s">
        <v>25</v>
      </c>
    </row>
    <row r="107" spans="4:47">
      <c r="F107" s="210">
        <v>0</v>
      </c>
      <c r="G107" s="210">
        <f>P47</f>
        <v>21200</v>
      </c>
      <c r="H107" s="210" t="s">
        <v>4872</v>
      </c>
      <c r="I107" s="210" t="s">
        <v>5311</v>
      </c>
      <c r="J107" s="32" t="s">
        <v>4361</v>
      </c>
      <c r="K107" s="210">
        <v>33</v>
      </c>
      <c r="L107" s="1">
        <f t="shared" si="40"/>
        <v>341550000</v>
      </c>
      <c r="M107" s="1">
        <f>N47+N28+N22</f>
        <v>122886090</v>
      </c>
      <c r="N107" s="111">
        <f t="shared" si="41"/>
        <v>218663910</v>
      </c>
      <c r="P107" s="94"/>
      <c r="Q107" s="110" t="s">
        <v>267</v>
      </c>
      <c r="R107" s="110" t="s">
        <v>180</v>
      </c>
      <c r="S107" s="110" t="s">
        <v>183</v>
      </c>
      <c r="T107" s="110" t="s">
        <v>8</v>
      </c>
      <c r="U107" s="166"/>
      <c r="V107" s="97"/>
      <c r="W107" s="32">
        <v>2</v>
      </c>
      <c r="X107" s="32">
        <v>4</v>
      </c>
      <c r="AB107" s="94"/>
      <c r="AH107" s="97">
        <v>87</v>
      </c>
      <c r="AI107" s="111" t="s">
        <v>4520</v>
      </c>
      <c r="AJ107" s="111">
        <v>4000000</v>
      </c>
      <c r="AK107" s="97">
        <v>1</v>
      </c>
      <c r="AL107" s="97">
        <f t="shared" si="39"/>
        <v>743</v>
      </c>
      <c r="AM107" s="115">
        <f t="shared" si="10"/>
        <v>2972000000</v>
      </c>
      <c r="AN107" s="97"/>
    </row>
    <row r="108" spans="4:47">
      <c r="F108" s="197">
        <v>0</v>
      </c>
      <c r="G108" s="197">
        <f>P46</f>
        <v>14290</v>
      </c>
      <c r="H108" s="197" t="s">
        <v>4989</v>
      </c>
      <c r="I108" s="197" t="s">
        <v>5312</v>
      </c>
      <c r="J108" s="211" t="s">
        <v>4357</v>
      </c>
      <c r="K108" s="197">
        <v>0</v>
      </c>
      <c r="L108" s="212">
        <f t="shared" si="40"/>
        <v>0</v>
      </c>
      <c r="M108" s="212">
        <f>N46+N24</f>
        <v>36982520</v>
      </c>
      <c r="N108" s="181">
        <f t="shared" si="41"/>
        <v>-36982520</v>
      </c>
      <c r="P108" s="94"/>
      <c r="Q108" s="35">
        <v>38474780.062005915</v>
      </c>
      <c r="R108" s="5" t="s">
        <v>4152</v>
      </c>
      <c r="S108" s="5">
        <v>934</v>
      </c>
      <c r="T108" s="5" t="s">
        <v>5606</v>
      </c>
      <c r="U108" s="166">
        <v>192</v>
      </c>
      <c r="V108" s="97">
        <f t="shared" ref="V108:V140" si="42">U108*(1+$R$104+$Q$15*S108/36500)</f>
        <v>332.48508493150689</v>
      </c>
      <c r="W108" s="32">
        <f t="shared" ref="W108" si="43">V108*(1+$W$19/100)</f>
        <v>339.13478663013706</v>
      </c>
      <c r="X108" s="32">
        <f t="shared" ref="X108" si="44">V108*(1+$X$19/100)</f>
        <v>345.78448832876717</v>
      </c>
      <c r="Y108" s="94">
        <v>200000</v>
      </c>
      <c r="AB108" s="94"/>
      <c r="AH108" s="97">
        <v>88</v>
      </c>
      <c r="AI108" s="111" t="s">
        <v>979</v>
      </c>
      <c r="AJ108" s="111">
        <v>-5000000</v>
      </c>
      <c r="AK108" s="97">
        <v>2</v>
      </c>
      <c r="AL108" s="97">
        <f t="shared" si="39"/>
        <v>742</v>
      </c>
      <c r="AM108" s="115">
        <f t="shared" si="10"/>
        <v>-3710000000</v>
      </c>
      <c r="AN108" s="97"/>
    </row>
    <row r="109" spans="4:47">
      <c r="F109" s="187"/>
      <c r="G109" s="187"/>
      <c r="H109" s="187"/>
      <c r="I109" s="187"/>
      <c r="J109" s="274" t="s">
        <v>5313</v>
      </c>
      <c r="K109" s="187">
        <v>0</v>
      </c>
      <c r="L109" s="275">
        <f t="shared" si="40"/>
        <v>0</v>
      </c>
      <c r="M109" s="275">
        <f>N20+N27+N41</f>
        <v>30094022</v>
      </c>
      <c r="N109" s="186">
        <f t="shared" si="41"/>
        <v>-30094022</v>
      </c>
      <c r="P109" s="94"/>
      <c r="Q109" s="167">
        <v>433201621</v>
      </c>
      <c r="R109" s="210" t="s">
        <v>5611</v>
      </c>
      <c r="S109" s="210">
        <f>S108-695</f>
        <v>239</v>
      </c>
      <c r="T109" s="210" t="s">
        <v>5618</v>
      </c>
      <c r="U109" s="210">
        <v>1995.5</v>
      </c>
      <c r="V109" s="97">
        <f t="shared" si="42"/>
        <v>2391.691490410959</v>
      </c>
      <c r="W109" s="32">
        <f t="shared" ref="W109:W110" si="45">V109*(1+$W$19/100)</f>
        <v>2439.5253202191784</v>
      </c>
      <c r="X109" s="32">
        <f t="shared" ref="X109:X110" si="46">V109*(1+$X$19/100)</f>
        <v>2487.3591500273974</v>
      </c>
      <c r="Y109">
        <v>216287</v>
      </c>
      <c r="Z109" t="s">
        <v>25</v>
      </c>
      <c r="AD109" s="94"/>
      <c r="AE109"/>
      <c r="AF109"/>
      <c r="AH109" s="97">
        <v>89</v>
      </c>
      <c r="AI109" s="111" t="s">
        <v>4524</v>
      </c>
      <c r="AJ109" s="111">
        <v>10000000</v>
      </c>
      <c r="AK109" s="97">
        <v>4</v>
      </c>
      <c r="AL109" s="97">
        <f t="shared" si="39"/>
        <v>740</v>
      </c>
      <c r="AM109" s="115">
        <f t="shared" si="10"/>
        <v>7400000000</v>
      </c>
      <c r="AN109" s="97"/>
    </row>
    <row r="110" spans="4:47">
      <c r="F110" s="197"/>
      <c r="G110" s="197"/>
      <c r="H110" s="197"/>
      <c r="I110" s="197"/>
      <c r="J110" s="211" t="s">
        <v>314</v>
      </c>
      <c r="K110" s="197">
        <v>1</v>
      </c>
      <c r="L110" s="212">
        <f t="shared" si="40"/>
        <v>10350000</v>
      </c>
      <c r="M110" s="212">
        <v>0</v>
      </c>
      <c r="N110" s="181">
        <f t="shared" si="41"/>
        <v>10350000</v>
      </c>
      <c r="P110" t="s">
        <v>25</v>
      </c>
      <c r="Q110" s="167">
        <v>8201348.2384272004</v>
      </c>
      <c r="R110" s="210" t="s">
        <v>5614</v>
      </c>
      <c r="S110" s="210">
        <f>S109-5</f>
        <v>234</v>
      </c>
      <c r="T110" s="210" t="s">
        <v>5667</v>
      </c>
      <c r="U110" s="210">
        <v>1751</v>
      </c>
      <c r="V110" s="97">
        <f t="shared" si="42"/>
        <v>2091.9316931506851</v>
      </c>
      <c r="W110" s="32">
        <f t="shared" si="45"/>
        <v>2133.770327013699</v>
      </c>
      <c r="X110" s="32">
        <f t="shared" si="46"/>
        <v>2175.6089608767124</v>
      </c>
      <c r="Y110">
        <v>4667</v>
      </c>
      <c r="AC110" t="s">
        <v>25</v>
      </c>
      <c r="AH110" s="97">
        <v>90</v>
      </c>
      <c r="AI110" s="111" t="s">
        <v>4526</v>
      </c>
      <c r="AJ110" s="111">
        <v>-5241937</v>
      </c>
      <c r="AK110" s="97">
        <v>0</v>
      </c>
      <c r="AL110" s="97">
        <f t="shared" si="39"/>
        <v>736</v>
      </c>
      <c r="AM110" s="115">
        <f t="shared" si="10"/>
        <v>-3858065632</v>
      </c>
      <c r="AN110" s="97"/>
    </row>
    <row r="111" spans="4:47">
      <c r="F111" s="189"/>
      <c r="G111" s="189"/>
      <c r="H111" s="189"/>
      <c r="I111" s="189"/>
      <c r="J111" s="248" t="s">
        <v>5423</v>
      </c>
      <c r="K111" s="189">
        <v>522</v>
      </c>
      <c r="L111" s="249">
        <f t="shared" si="40"/>
        <v>5402700000</v>
      </c>
      <c r="M111" s="249">
        <v>0</v>
      </c>
      <c r="N111" s="84">
        <f t="shared" si="41"/>
        <v>5402700000</v>
      </c>
      <c r="P111" t="s">
        <v>25</v>
      </c>
      <c r="Q111" s="167">
        <v>106896832</v>
      </c>
      <c r="R111" s="210" t="s">
        <v>5669</v>
      </c>
      <c r="S111" s="210">
        <f>S110-36</f>
        <v>198</v>
      </c>
      <c r="T111" s="210" t="s">
        <v>5670</v>
      </c>
      <c r="U111" s="210">
        <v>1715</v>
      </c>
      <c r="V111" s="97">
        <f t="shared" si="42"/>
        <v>2001.5600547945207</v>
      </c>
      <c r="W111" s="32">
        <f t="shared" ref="W111" si="47">V111*(1+$W$19/100)</f>
        <v>2041.5912558904113</v>
      </c>
      <c r="X111" s="32">
        <f t="shared" ref="X111" si="48">V111*(1+$X$19/100)</f>
        <v>2081.6224569863016</v>
      </c>
      <c r="Y111" s="94">
        <v>62100</v>
      </c>
      <c r="Z111" t="s">
        <v>25</v>
      </c>
      <c r="AH111" s="97">
        <v>91</v>
      </c>
      <c r="AI111" s="111" t="s">
        <v>4526</v>
      </c>
      <c r="AJ111" s="111">
        <v>21900000</v>
      </c>
      <c r="AK111" s="97">
        <v>2</v>
      </c>
      <c r="AL111" s="97">
        <f t="shared" si="39"/>
        <v>736</v>
      </c>
      <c r="AM111" s="115">
        <f t="shared" si="10"/>
        <v>16118400000</v>
      </c>
      <c r="AN111" s="97"/>
      <c r="AP111" t="s">
        <v>25</v>
      </c>
      <c r="AU111"/>
    </row>
    <row r="112" spans="4:47">
      <c r="F112" s="210"/>
      <c r="G112" s="210"/>
      <c r="H112" s="210"/>
      <c r="I112" s="210"/>
      <c r="J112" s="32" t="s">
        <v>4687</v>
      </c>
      <c r="K112" s="210"/>
      <c r="L112" s="1"/>
      <c r="M112" s="1"/>
      <c r="N112" s="111">
        <f>20000000-L42</f>
        <v>20000000</v>
      </c>
      <c r="O112" t="s">
        <v>25</v>
      </c>
      <c r="P112" t="s">
        <v>25</v>
      </c>
      <c r="Q112" s="167">
        <v>455942528</v>
      </c>
      <c r="R112" s="210" t="s">
        <v>5671</v>
      </c>
      <c r="S112" s="210">
        <f>S111-1</f>
        <v>197</v>
      </c>
      <c r="T112" s="210" t="s">
        <v>5673</v>
      </c>
      <c r="U112" s="210">
        <v>1631</v>
      </c>
      <c r="V112" s="97">
        <f t="shared" si="42"/>
        <v>1902.2732821917812</v>
      </c>
      <c r="W112" s="32">
        <f t="shared" ref="W112:W113" si="49">V112*(1+$W$19/100)</f>
        <v>1940.3187478356169</v>
      </c>
      <c r="X112" s="32">
        <f t="shared" ref="X112:X113" si="50">V112*(1+$X$19/100)</f>
        <v>1978.3642134794525</v>
      </c>
      <c r="Y112">
        <v>278514</v>
      </c>
      <c r="AA112" t="s">
        <v>25</v>
      </c>
      <c r="AH112" s="97">
        <v>92</v>
      </c>
      <c r="AI112" s="111" t="s">
        <v>4533</v>
      </c>
      <c r="AJ112" s="111">
        <v>-15000000</v>
      </c>
      <c r="AK112" s="97">
        <v>0</v>
      </c>
      <c r="AL112" s="97">
        <f t="shared" si="39"/>
        <v>734</v>
      </c>
      <c r="AM112" s="115">
        <f t="shared" si="10"/>
        <v>-11010000000</v>
      </c>
      <c r="AN112" s="97"/>
      <c r="AO112" t="s">
        <v>25</v>
      </c>
    </row>
    <row r="113" spans="6:46">
      <c r="F113" s="197"/>
      <c r="G113" s="197"/>
      <c r="H113" s="197"/>
      <c r="I113" s="197"/>
      <c r="J113" s="211" t="s">
        <v>5008</v>
      </c>
      <c r="K113" s="197">
        <f>SUM(K106:K111)</f>
        <v>766</v>
      </c>
      <c r="L113" s="212"/>
      <c r="M113" s="212"/>
      <c r="N113" s="181"/>
      <c r="Q113" s="167">
        <v>834999909.33089697</v>
      </c>
      <c r="R113" s="210" t="s">
        <v>5675</v>
      </c>
      <c r="S113" s="210">
        <f>S112-1</f>
        <v>196</v>
      </c>
      <c r="T113" s="210" t="s">
        <v>5694</v>
      </c>
      <c r="U113" s="210">
        <v>1567.4</v>
      </c>
      <c r="V113" s="97">
        <f t="shared" si="42"/>
        <v>1826.8927320547948</v>
      </c>
      <c r="W113" s="32">
        <f t="shared" si="49"/>
        <v>1863.4305866958907</v>
      </c>
      <c r="X113" s="32">
        <f t="shared" si="50"/>
        <v>1899.9684413369866</v>
      </c>
      <c r="Y113">
        <v>530747</v>
      </c>
      <c r="AH113" s="97">
        <v>93</v>
      </c>
      <c r="AI113" s="111" t="s">
        <v>4533</v>
      </c>
      <c r="AJ113" s="111">
        <v>3000000</v>
      </c>
      <c r="AK113" s="97">
        <v>1</v>
      </c>
      <c r="AL113" s="97">
        <f t="shared" si="39"/>
        <v>734</v>
      </c>
      <c r="AM113" s="115">
        <f t="shared" si="10"/>
        <v>2202000000</v>
      </c>
      <c r="AN113" s="97"/>
    </row>
    <row r="114" spans="6:46">
      <c r="F114" s="210"/>
      <c r="G114" s="210"/>
      <c r="H114" s="210" t="s">
        <v>25</v>
      </c>
      <c r="I114" s="210"/>
      <c r="J114" s="32"/>
      <c r="K114" s="210">
        <v>0</v>
      </c>
      <c r="L114" s="39">
        <f>10*P53</f>
        <v>10350000</v>
      </c>
      <c r="M114" s="1">
        <f>K114*L114</f>
        <v>0</v>
      </c>
      <c r="N114" s="111">
        <f>SUM(N106:N112)-M114</f>
        <v>76670763</v>
      </c>
      <c r="P114" s="112"/>
      <c r="Q114" s="167"/>
      <c r="R114" s="210" t="s">
        <v>5695</v>
      </c>
      <c r="S114" s="210">
        <f>S113-13</f>
        <v>183</v>
      </c>
      <c r="T114" s="210" t="s">
        <v>5696</v>
      </c>
      <c r="U114" s="210"/>
      <c r="V114" s="97">
        <f t="shared" si="42"/>
        <v>0</v>
      </c>
      <c r="W114" s="32">
        <f t="shared" ref="W114:W116" si="51">V114*(1+$W$19/100)</f>
        <v>0</v>
      </c>
      <c r="X114" s="32">
        <f t="shared" ref="X114:X116" si="52">V114*(1+$X$19/100)</f>
        <v>0</v>
      </c>
      <c r="Y114" s="94">
        <v>83532</v>
      </c>
      <c r="Z114" s="94"/>
      <c r="AA114" s="94"/>
      <c r="AH114" s="97">
        <v>94</v>
      </c>
      <c r="AI114" s="111" t="s">
        <v>4536</v>
      </c>
      <c r="AJ114" s="111">
        <v>-2103736</v>
      </c>
      <c r="AK114" s="97">
        <v>0</v>
      </c>
      <c r="AL114" s="97">
        <f t="shared" si="39"/>
        <v>733</v>
      </c>
      <c r="AM114" s="115">
        <f t="shared" si="10"/>
        <v>-1542038488</v>
      </c>
      <c r="AN114" s="97"/>
    </row>
    <row r="115" spans="6:46">
      <c r="F115" s="197"/>
      <c r="G115" s="197"/>
      <c r="H115" s="197"/>
      <c r="I115" s="197"/>
      <c r="J115" s="211"/>
      <c r="K115" s="236"/>
      <c r="L115" s="212" t="s">
        <v>4229</v>
      </c>
      <c r="M115" s="212" t="s">
        <v>4600</v>
      </c>
      <c r="N115" s="181" t="s">
        <v>4601</v>
      </c>
      <c r="P115" t="s">
        <v>25</v>
      </c>
      <c r="Q115" s="167" t="s">
        <v>25</v>
      </c>
      <c r="R115" s="210" t="s">
        <v>5697</v>
      </c>
      <c r="S115" s="210">
        <f>S114-1</f>
        <v>182</v>
      </c>
      <c r="T115" s="210" t="s">
        <v>5698</v>
      </c>
      <c r="U115" s="210"/>
      <c r="V115" s="97">
        <f t="shared" si="42"/>
        <v>0</v>
      </c>
      <c r="W115" s="32">
        <f t="shared" si="51"/>
        <v>0</v>
      </c>
      <c r="X115" s="32">
        <f t="shared" si="52"/>
        <v>0</v>
      </c>
      <c r="Y115" s="94">
        <v>807014</v>
      </c>
      <c r="Z115" s="94"/>
      <c r="AA115" s="94"/>
      <c r="AH115" s="97">
        <v>95</v>
      </c>
      <c r="AI115" s="111" t="s">
        <v>4536</v>
      </c>
      <c r="AJ115" s="111">
        <v>220000</v>
      </c>
      <c r="AK115" s="97">
        <v>3</v>
      </c>
      <c r="AL115" s="97">
        <f t="shared" si="39"/>
        <v>733</v>
      </c>
      <c r="AM115" s="115">
        <f t="shared" si="10"/>
        <v>161260000</v>
      </c>
      <c r="AN115" s="97"/>
      <c r="AR115" s="94"/>
      <c r="AS115" s="94"/>
      <c r="AT115"/>
    </row>
    <row r="116" spans="6:46">
      <c r="F116" s="210"/>
      <c r="G116" s="210"/>
      <c r="H116" s="210"/>
      <c r="I116" s="210"/>
      <c r="J116" s="32" t="s">
        <v>4607</v>
      </c>
      <c r="K116" s="210"/>
      <c r="L116" s="1"/>
      <c r="M116" s="1"/>
      <c r="N116" s="111"/>
      <c r="Q116" s="167"/>
      <c r="R116" s="210" t="s">
        <v>5699</v>
      </c>
      <c r="S116" s="210">
        <f>S115-1</f>
        <v>181</v>
      </c>
      <c r="T116" s="210" t="s">
        <v>5752</v>
      </c>
      <c r="U116" s="210"/>
      <c r="V116" s="97">
        <f t="shared" si="42"/>
        <v>0</v>
      </c>
      <c r="W116" s="32">
        <f t="shared" si="51"/>
        <v>0</v>
      </c>
      <c r="X116" s="32">
        <f t="shared" si="52"/>
        <v>0</v>
      </c>
      <c r="Y116" s="94">
        <v>399790</v>
      </c>
      <c r="Z116" s="94"/>
      <c r="AA116" s="94"/>
      <c r="AH116" s="97">
        <v>96</v>
      </c>
      <c r="AI116" s="111" t="s">
        <v>4545</v>
      </c>
      <c r="AJ116" s="111">
        <v>4000000</v>
      </c>
      <c r="AK116" s="97">
        <v>1</v>
      </c>
      <c r="AL116" s="97">
        <f t="shared" si="39"/>
        <v>730</v>
      </c>
      <c r="AM116" s="115">
        <f t="shared" si="10"/>
        <v>2920000000</v>
      </c>
      <c r="AN116" s="97"/>
    </row>
    <row r="117" spans="6:46">
      <c r="M117" t="s">
        <v>25</v>
      </c>
      <c r="Q117" s="167"/>
      <c r="R117" s="210" t="s">
        <v>5757</v>
      </c>
      <c r="S117" s="210">
        <f>S116-53</f>
        <v>128</v>
      </c>
      <c r="T117" s="210" t="s">
        <v>5758</v>
      </c>
      <c r="U117" s="210">
        <v>1500</v>
      </c>
      <c r="V117" s="97">
        <f t="shared" si="42"/>
        <v>1670.0876712328768</v>
      </c>
      <c r="W117" s="32">
        <f t="shared" ref="W117:W143" si="53">V117*(1+$W$19/100)</f>
        <v>1703.4894246575343</v>
      </c>
      <c r="X117" s="32">
        <f t="shared" ref="X117:X143" si="54">V117*(1+$X$19/100)</f>
        <v>1736.891178082192</v>
      </c>
      <c r="Y117" s="94">
        <v>268413</v>
      </c>
      <c r="Z117" s="94"/>
      <c r="AA117" s="94"/>
      <c r="AH117" s="97">
        <v>97</v>
      </c>
      <c r="AI117" s="111" t="s">
        <v>4549</v>
      </c>
      <c r="AJ117" s="111">
        <v>-9000000</v>
      </c>
      <c r="AK117" s="97">
        <v>0</v>
      </c>
      <c r="AL117" s="97">
        <f t="shared" si="39"/>
        <v>729</v>
      </c>
      <c r="AM117" s="115">
        <f t="shared" si="10"/>
        <v>-6561000000</v>
      </c>
      <c r="AN117" s="97"/>
      <c r="AP117" t="s">
        <v>25</v>
      </c>
    </row>
    <row r="118" spans="6:46">
      <c r="G118" s="94" t="s">
        <v>25</v>
      </c>
      <c r="H118" s="94"/>
      <c r="I118" s="94"/>
      <c r="J118" s="94"/>
      <c r="P118" s="112"/>
      <c r="Q118" s="167"/>
      <c r="R118" s="210" t="s">
        <v>5759</v>
      </c>
      <c r="S118" s="210">
        <f>S117-1</f>
        <v>127</v>
      </c>
      <c r="T118" s="210" t="s">
        <v>5760</v>
      </c>
      <c r="U118" s="210">
        <v>1440</v>
      </c>
      <c r="V118" s="97">
        <f t="shared" si="42"/>
        <v>1602.1795068493152</v>
      </c>
      <c r="W118" s="32">
        <f t="shared" si="53"/>
        <v>1634.2230969863015</v>
      </c>
      <c r="X118" s="32">
        <f t="shared" si="54"/>
        <v>1666.266687123288</v>
      </c>
      <c r="Y118" s="94">
        <v>682</v>
      </c>
      <c r="Z118" s="94"/>
      <c r="AA118" s="94"/>
      <c r="AH118" s="97">
        <v>98</v>
      </c>
      <c r="AI118" s="111" t="s">
        <v>4549</v>
      </c>
      <c r="AJ118" s="111">
        <v>13900000</v>
      </c>
      <c r="AK118" s="97">
        <v>2</v>
      </c>
      <c r="AL118" s="97">
        <f t="shared" si="39"/>
        <v>729</v>
      </c>
      <c r="AM118" s="115">
        <f t="shared" si="10"/>
        <v>10133100000</v>
      </c>
      <c r="AN118" s="97"/>
    </row>
    <row r="119" spans="6:46">
      <c r="G119" s="94"/>
      <c r="H119" s="94"/>
      <c r="I119" s="94"/>
      <c r="J119" s="94"/>
      <c r="K119" s="166" t="s">
        <v>4488</v>
      </c>
      <c r="L119" s="166" t="s">
        <v>4489</v>
      </c>
      <c r="M119" s="166" t="s">
        <v>4395</v>
      </c>
      <c r="N119" s="54" t="s">
        <v>190</v>
      </c>
      <c r="Q119" s="167"/>
      <c r="R119" s="210" t="s">
        <v>5761</v>
      </c>
      <c r="S119" s="210">
        <f>S118-1</f>
        <v>126</v>
      </c>
      <c r="T119" s="210" t="s">
        <v>5762</v>
      </c>
      <c r="U119" s="210">
        <v>1362</v>
      </c>
      <c r="V119" s="97">
        <f t="shared" si="42"/>
        <v>1514.349961643836</v>
      </c>
      <c r="W119" s="32">
        <f t="shared" si="53"/>
        <v>1544.6369608767127</v>
      </c>
      <c r="X119" s="32">
        <f t="shared" si="54"/>
        <v>1574.9239601095894</v>
      </c>
      <c r="Y119" s="94">
        <v>99554</v>
      </c>
      <c r="Z119" s="94"/>
      <c r="AA119" s="94"/>
      <c r="AH119" s="97">
        <v>99</v>
      </c>
      <c r="AI119" s="111" t="s">
        <v>4554</v>
      </c>
      <c r="AJ119" s="111">
        <v>-8127577</v>
      </c>
      <c r="AK119" s="97">
        <v>1</v>
      </c>
      <c r="AL119" s="97">
        <f t="shared" si="39"/>
        <v>727</v>
      </c>
      <c r="AM119" s="115">
        <f t="shared" si="10"/>
        <v>-5908748479</v>
      </c>
      <c r="AN119" s="97"/>
      <c r="AO119" t="s">
        <v>25</v>
      </c>
      <c r="AQ119" t="s">
        <v>25</v>
      </c>
    </row>
    <row r="120" spans="6:46">
      <c r="G120" s="94"/>
      <c r="H120" s="94"/>
      <c r="I120" s="94"/>
      <c r="J120" s="94"/>
      <c r="K120" s="166" t="s">
        <v>4219</v>
      </c>
      <c r="L120" s="167">
        <v>1100000</v>
      </c>
      <c r="M120" s="167">
        <v>1637000</v>
      </c>
      <c r="N120" s="166">
        <f t="shared" ref="N120:N128" si="55">(M120-L120)*100/L120</f>
        <v>48.81818181818182</v>
      </c>
      <c r="Q120" s="167"/>
      <c r="R120" s="210" t="s">
        <v>5768</v>
      </c>
      <c r="S120" s="210">
        <f>S119-1</f>
        <v>125</v>
      </c>
      <c r="T120" s="210" t="s">
        <v>5769</v>
      </c>
      <c r="U120" s="210">
        <v>1330</v>
      </c>
      <c r="V120" s="97">
        <f t="shared" si="42"/>
        <v>1477.7502465753425</v>
      </c>
      <c r="W120" s="32">
        <f t="shared" si="53"/>
        <v>1507.3052515068493</v>
      </c>
      <c r="X120" s="32">
        <f t="shared" si="54"/>
        <v>1536.8602564383564</v>
      </c>
      <c r="Y120" s="94">
        <v>11986</v>
      </c>
      <c r="Z120" s="94"/>
      <c r="AA120" s="94"/>
      <c r="AH120" s="97">
        <v>100</v>
      </c>
      <c r="AI120" s="111" t="s">
        <v>3675</v>
      </c>
      <c r="AJ120" s="111">
        <v>15792549</v>
      </c>
      <c r="AK120" s="97">
        <v>3</v>
      </c>
      <c r="AL120" s="97">
        <f t="shared" si="39"/>
        <v>726</v>
      </c>
      <c r="AM120" s="115">
        <f t="shared" si="10"/>
        <v>11465390574</v>
      </c>
      <c r="AN120" s="97"/>
      <c r="AO120" t="s">
        <v>25</v>
      </c>
      <c r="AP120" t="s">
        <v>25</v>
      </c>
    </row>
    <row r="121" spans="6:46">
      <c r="F121" s="94"/>
      <c r="G121" s="94"/>
      <c r="H121" s="94"/>
      <c r="I121" s="94"/>
      <c r="J121" s="94"/>
      <c r="K121" s="5" t="s">
        <v>4483</v>
      </c>
      <c r="L121" s="167">
        <v>1100000</v>
      </c>
      <c r="M121" s="167">
        <v>4748000</v>
      </c>
      <c r="N121" s="166">
        <f t="shared" si="55"/>
        <v>331.63636363636363</v>
      </c>
      <c r="Q121" s="167"/>
      <c r="R121" s="210" t="s">
        <v>5774</v>
      </c>
      <c r="S121" s="210">
        <f>S120-4</f>
        <v>121</v>
      </c>
      <c r="T121" s="210" t="s">
        <v>5775</v>
      </c>
      <c r="U121" s="210">
        <v>1390</v>
      </c>
      <c r="V121" s="97">
        <f t="shared" si="42"/>
        <v>1540.1504657534249</v>
      </c>
      <c r="W121" s="32">
        <f t="shared" si="53"/>
        <v>1570.9534750684934</v>
      </c>
      <c r="X121" s="32">
        <f t="shared" si="54"/>
        <v>1601.7564843835619</v>
      </c>
      <c r="Y121" s="94">
        <v>74000</v>
      </c>
      <c r="Z121" s="94"/>
      <c r="AH121" s="97">
        <v>101</v>
      </c>
      <c r="AI121" s="111" t="s">
        <v>4558</v>
      </c>
      <c r="AJ121" s="111">
        <v>8800000</v>
      </c>
      <c r="AK121" s="97">
        <v>0</v>
      </c>
      <c r="AL121" s="97">
        <f t="shared" ref="AL121:AL126" si="56">AL122+AK121</f>
        <v>723</v>
      </c>
      <c r="AM121" s="115">
        <f t="shared" ref="AM121:AM144" si="57">AJ121*AL121</f>
        <v>6362400000</v>
      </c>
      <c r="AN121" s="97"/>
      <c r="AP121" t="s">
        <v>25</v>
      </c>
    </row>
    <row r="122" spans="6:46" ht="17.25" customHeight="1">
      <c r="F122" s="94"/>
      <c r="G122" s="94"/>
      <c r="H122" s="94"/>
      <c r="I122" s="94"/>
      <c r="J122" s="94"/>
      <c r="K122" s="5" t="s">
        <v>4484</v>
      </c>
      <c r="L122" s="167">
        <v>1100000</v>
      </c>
      <c r="M122" s="167">
        <v>5137000</v>
      </c>
      <c r="N122" s="166">
        <f t="shared" si="55"/>
        <v>367</v>
      </c>
      <c r="Q122" s="167"/>
      <c r="R122" s="210" t="s">
        <v>5776</v>
      </c>
      <c r="S122" s="210">
        <f>S121-1</f>
        <v>120</v>
      </c>
      <c r="T122" s="210" t="s">
        <v>5777</v>
      </c>
      <c r="U122" s="210">
        <v>1350</v>
      </c>
      <c r="V122" s="97">
        <f t="shared" si="42"/>
        <v>1494.7939726027398</v>
      </c>
      <c r="W122" s="32">
        <f t="shared" si="53"/>
        <v>1524.6898520547945</v>
      </c>
      <c r="X122" s="32">
        <f t="shared" si="54"/>
        <v>1554.5857315068495</v>
      </c>
      <c r="Y122" s="94">
        <v>78520</v>
      </c>
      <c r="Z122" s="94"/>
      <c r="AA122" s="94"/>
      <c r="AH122" s="119">
        <v>102</v>
      </c>
      <c r="AI122" s="77" t="s">
        <v>4558</v>
      </c>
      <c r="AJ122" s="77">
        <v>13071612</v>
      </c>
      <c r="AK122" s="119">
        <v>1</v>
      </c>
      <c r="AL122" s="119">
        <f t="shared" si="56"/>
        <v>723</v>
      </c>
      <c r="AM122" s="77">
        <f t="shared" si="57"/>
        <v>9450775476</v>
      </c>
      <c r="AN122" s="202" t="s">
        <v>4559</v>
      </c>
    </row>
    <row r="123" spans="6:46">
      <c r="F123" s="94"/>
      <c r="G123" s="97"/>
      <c r="H123" s="97" t="s">
        <v>5719</v>
      </c>
      <c r="I123" s="91" t="s">
        <v>5725</v>
      </c>
      <c r="J123" s="1">
        <v>130000000</v>
      </c>
      <c r="K123" s="313" t="s">
        <v>4357</v>
      </c>
      <c r="L123" s="167">
        <v>1100000</v>
      </c>
      <c r="M123" s="167">
        <v>4300000</v>
      </c>
      <c r="N123" s="166">
        <f t="shared" si="55"/>
        <v>290.90909090909093</v>
      </c>
      <c r="Q123" s="167"/>
      <c r="R123" s="210" t="s">
        <v>5778</v>
      </c>
      <c r="S123" s="210">
        <f>S122-2</f>
        <v>118</v>
      </c>
      <c r="T123" s="210" t="s">
        <v>5779</v>
      </c>
      <c r="U123" s="210">
        <v>1228</v>
      </c>
      <c r="V123" s="97">
        <f t="shared" si="42"/>
        <v>1357.8248328767122</v>
      </c>
      <c r="W123" s="32">
        <f t="shared" si="53"/>
        <v>1384.9813295342465</v>
      </c>
      <c r="X123" s="32">
        <f t="shared" si="54"/>
        <v>1412.1378261917807</v>
      </c>
      <c r="Y123" s="94">
        <v>377107</v>
      </c>
      <c r="Z123" s="94"/>
      <c r="AA123" s="94"/>
      <c r="AH123" s="87">
        <v>103</v>
      </c>
      <c r="AI123" s="88" t="s">
        <v>4562</v>
      </c>
      <c r="AJ123" s="88">
        <v>16727037</v>
      </c>
      <c r="AK123" s="87">
        <v>0</v>
      </c>
      <c r="AL123" s="87">
        <f t="shared" si="56"/>
        <v>722</v>
      </c>
      <c r="AM123" s="88">
        <f t="shared" si="57"/>
        <v>12076920714</v>
      </c>
      <c r="AN123" s="87" t="s">
        <v>4569</v>
      </c>
    </row>
    <row r="124" spans="6:46">
      <c r="F124" s="94"/>
      <c r="G124" s="97">
        <f>P48</f>
        <v>1055</v>
      </c>
      <c r="H124" s="97" t="s">
        <v>4219</v>
      </c>
      <c r="I124" s="97">
        <v>51250</v>
      </c>
      <c r="J124" s="1">
        <f>I124*G124</f>
        <v>54068750</v>
      </c>
      <c r="K124" s="314" t="s">
        <v>4374</v>
      </c>
      <c r="L124" s="167">
        <v>1100000</v>
      </c>
      <c r="M124" s="167">
        <v>3191000</v>
      </c>
      <c r="N124" s="166">
        <f t="shared" si="55"/>
        <v>190.09090909090909</v>
      </c>
      <c r="Q124" s="167"/>
      <c r="R124" s="210" t="s">
        <v>5783</v>
      </c>
      <c r="S124" s="210">
        <f>S123-4</f>
        <v>114</v>
      </c>
      <c r="T124" s="210" t="s">
        <v>5784</v>
      </c>
      <c r="U124" s="210">
        <v>1325</v>
      </c>
      <c r="V124" s="97">
        <f t="shared" si="42"/>
        <v>1461.0139726027398</v>
      </c>
      <c r="W124" s="32">
        <f t="shared" si="53"/>
        <v>1490.2342520547948</v>
      </c>
      <c r="X124" s="32">
        <f t="shared" si="54"/>
        <v>1519.4545315068494</v>
      </c>
      <c r="Y124" s="94">
        <v>7170</v>
      </c>
      <c r="Z124" s="94"/>
      <c r="AA124" s="94"/>
      <c r="AH124" s="97">
        <v>104</v>
      </c>
      <c r="AI124" s="111" t="s">
        <v>4562</v>
      </c>
      <c r="AJ124" s="111">
        <v>12000000</v>
      </c>
      <c r="AK124" s="97">
        <v>1</v>
      </c>
      <c r="AL124" s="97">
        <f t="shared" si="56"/>
        <v>722</v>
      </c>
      <c r="AM124" s="115">
        <f t="shared" si="57"/>
        <v>8664000000</v>
      </c>
      <c r="AN124" s="97" t="s">
        <v>4570</v>
      </c>
    </row>
    <row r="125" spans="6:46">
      <c r="F125" s="94"/>
      <c r="G125" s="97">
        <f>P46</f>
        <v>14290</v>
      </c>
      <c r="H125" s="97" t="s">
        <v>4357</v>
      </c>
      <c r="I125" s="97">
        <v>6709</v>
      </c>
      <c r="J125" s="1">
        <f>I125*G125</f>
        <v>95871610</v>
      </c>
      <c r="K125" s="314" t="s">
        <v>4485</v>
      </c>
      <c r="L125" s="167">
        <v>1100000</v>
      </c>
      <c r="M125" s="167">
        <v>5623000</v>
      </c>
      <c r="N125" s="166">
        <f t="shared" si="55"/>
        <v>411.18181818181819</v>
      </c>
      <c r="Q125" s="167"/>
      <c r="R125" s="210" t="s">
        <v>5785</v>
      </c>
      <c r="S125" s="210">
        <f>S124-1</f>
        <v>113</v>
      </c>
      <c r="T125" s="210" t="s">
        <v>5834</v>
      </c>
      <c r="U125" s="210">
        <v>1285</v>
      </c>
      <c r="V125" s="97">
        <f t="shared" si="42"/>
        <v>1415.9221369863017</v>
      </c>
      <c r="W125" s="32">
        <f t="shared" si="53"/>
        <v>1444.2405797260278</v>
      </c>
      <c r="X125" s="32">
        <f t="shared" si="54"/>
        <v>1472.5590224657537</v>
      </c>
      <c r="Y125" s="94">
        <v>683499</v>
      </c>
      <c r="Z125" s="94"/>
      <c r="AA125" s="94"/>
      <c r="AH125" s="87">
        <v>105</v>
      </c>
      <c r="AI125" s="88" t="s">
        <v>4499</v>
      </c>
      <c r="AJ125" s="88">
        <v>88697667</v>
      </c>
      <c r="AK125" s="87">
        <v>1</v>
      </c>
      <c r="AL125" s="87">
        <f t="shared" si="56"/>
        <v>721</v>
      </c>
      <c r="AM125" s="88">
        <f t="shared" si="57"/>
        <v>63951017907</v>
      </c>
      <c r="AN125" s="87" t="s">
        <v>4571</v>
      </c>
      <c r="AP125" t="s">
        <v>25</v>
      </c>
    </row>
    <row r="126" spans="6:46">
      <c r="F126" s="94"/>
      <c r="G126" s="97"/>
      <c r="H126" s="97"/>
      <c r="I126" s="97" t="s">
        <v>25</v>
      </c>
      <c r="J126" s="1">
        <v>0</v>
      </c>
      <c r="K126" s="313" t="s">
        <v>4361</v>
      </c>
      <c r="L126" s="167">
        <v>1100000</v>
      </c>
      <c r="M126" s="167">
        <v>7728000</v>
      </c>
      <c r="N126" s="166">
        <f t="shared" si="55"/>
        <v>602.5454545454545</v>
      </c>
      <c r="Q126" s="167"/>
      <c r="R126" s="210" t="s">
        <v>5829</v>
      </c>
      <c r="S126" s="210">
        <f>S125-56</f>
        <v>57</v>
      </c>
      <c r="T126" s="210" t="s">
        <v>5833</v>
      </c>
      <c r="U126" s="210">
        <v>1354.1</v>
      </c>
      <c r="V126" s="97">
        <f t="shared" si="42"/>
        <v>1433.8917336986301</v>
      </c>
      <c r="W126" s="32">
        <f t="shared" si="53"/>
        <v>1462.5695683726028</v>
      </c>
      <c r="X126" s="32">
        <f t="shared" si="54"/>
        <v>1491.2474030465753</v>
      </c>
      <c r="Y126" s="94"/>
      <c r="Z126" s="94">
        <v>22000</v>
      </c>
      <c r="AA126" s="94"/>
      <c r="AH126" s="97">
        <v>106</v>
      </c>
      <c r="AI126" s="111" t="s">
        <v>4502</v>
      </c>
      <c r="AJ126" s="111">
        <v>101000</v>
      </c>
      <c r="AK126" s="97">
        <v>0</v>
      </c>
      <c r="AL126" s="97">
        <f t="shared" si="56"/>
        <v>720</v>
      </c>
      <c r="AM126" s="115">
        <f t="shared" si="57"/>
        <v>72720000</v>
      </c>
      <c r="AN126" s="97"/>
      <c r="AQ126" t="s">
        <v>25</v>
      </c>
    </row>
    <row r="127" spans="6:46">
      <c r="F127" s="94"/>
      <c r="G127" s="97"/>
      <c r="H127" s="97"/>
      <c r="I127" s="97"/>
      <c r="J127" s="1">
        <v>0</v>
      </c>
      <c r="K127" s="314" t="s">
        <v>4487</v>
      </c>
      <c r="L127" s="167">
        <v>1100000</v>
      </c>
      <c r="M127" s="167">
        <v>2904000</v>
      </c>
      <c r="N127" s="166">
        <f t="shared" si="55"/>
        <v>164</v>
      </c>
      <c r="Q127" s="167"/>
      <c r="R127" s="210" t="s">
        <v>5835</v>
      </c>
      <c r="S127" s="210">
        <f>S126-8</f>
        <v>49</v>
      </c>
      <c r="T127" s="210" t="s">
        <v>5854</v>
      </c>
      <c r="U127" s="210">
        <v>1266</v>
      </c>
      <c r="V127" s="97">
        <f t="shared" si="42"/>
        <v>1332.8309260273973</v>
      </c>
      <c r="W127" s="32">
        <f t="shared" si="53"/>
        <v>1359.4875445479452</v>
      </c>
      <c r="X127" s="32">
        <f t="shared" si="54"/>
        <v>1386.1441630684933</v>
      </c>
      <c r="Y127" s="94"/>
      <c r="Z127" s="94">
        <v>62174</v>
      </c>
      <c r="AA127" s="94"/>
      <c r="AB127" s="94"/>
      <c r="AH127" s="147">
        <v>107</v>
      </c>
      <c r="AI127" s="186" t="s">
        <v>4568</v>
      </c>
      <c r="AJ127" s="186">
        <v>-48200</v>
      </c>
      <c r="AK127" s="147">
        <v>0</v>
      </c>
      <c r="AL127" s="147">
        <f t="shared" ref="AL127:AL177" si="58">AL128+AK127</f>
        <v>720</v>
      </c>
      <c r="AM127" s="186">
        <f t="shared" si="57"/>
        <v>-34704000</v>
      </c>
      <c r="AN127" s="147" t="s">
        <v>4576</v>
      </c>
    </row>
    <row r="128" spans="6:46">
      <c r="G128" s="97"/>
      <c r="H128" s="97" t="s">
        <v>938</v>
      </c>
      <c r="I128" s="148">
        <f>J124+J125+J126+J127-J123</f>
        <v>19940360</v>
      </c>
      <c r="J128" s="1">
        <v>0</v>
      </c>
      <c r="K128" s="254" t="s">
        <v>1070</v>
      </c>
      <c r="L128" s="167">
        <v>1100000</v>
      </c>
      <c r="M128" s="167">
        <v>3400000</v>
      </c>
      <c r="N128" s="166">
        <f t="shared" si="55"/>
        <v>209.09090909090909</v>
      </c>
      <c r="Q128" s="167"/>
      <c r="R128" s="210" t="s">
        <v>5835</v>
      </c>
      <c r="S128" s="210">
        <f>S127</f>
        <v>49</v>
      </c>
      <c r="T128" s="210" t="s">
        <v>5836</v>
      </c>
      <c r="U128" s="210">
        <v>1155</v>
      </c>
      <c r="V128" s="97">
        <f t="shared" si="42"/>
        <v>1215.9713424657534</v>
      </c>
      <c r="W128" s="32">
        <f t="shared" si="53"/>
        <v>1240.2907693150685</v>
      </c>
      <c r="X128" s="32">
        <f t="shared" si="54"/>
        <v>1264.6101961643835</v>
      </c>
      <c r="Y128" s="94">
        <v>16761</v>
      </c>
      <c r="Z128" s="94"/>
      <c r="AA128" s="94"/>
      <c r="AB128" s="94"/>
      <c r="AH128" s="87">
        <v>108</v>
      </c>
      <c r="AI128" s="88" t="s">
        <v>4568</v>
      </c>
      <c r="AJ128" s="88">
        <v>39327293</v>
      </c>
      <c r="AK128" s="87">
        <v>4</v>
      </c>
      <c r="AL128" s="147">
        <f t="shared" si="58"/>
        <v>720</v>
      </c>
      <c r="AM128" s="186">
        <f t="shared" si="57"/>
        <v>28315650960</v>
      </c>
      <c r="AN128" s="87" t="s">
        <v>4577</v>
      </c>
    </row>
    <row r="129" spans="7:43">
      <c r="K129" s="235" t="s">
        <v>5381</v>
      </c>
      <c r="Q129" s="167"/>
      <c r="R129" s="210" t="s">
        <v>5837</v>
      </c>
      <c r="S129" s="210">
        <f>S128-1</f>
        <v>48</v>
      </c>
      <c r="T129" s="210" t="s">
        <v>5838</v>
      </c>
      <c r="U129" s="210">
        <v>1135</v>
      </c>
      <c r="V129" s="97">
        <f t="shared" si="42"/>
        <v>1194.0448767123289</v>
      </c>
      <c r="W129" s="32">
        <f t="shared" si="53"/>
        <v>1217.9257742465754</v>
      </c>
      <c r="X129" s="32">
        <f t="shared" si="54"/>
        <v>1241.8066717808222</v>
      </c>
      <c r="Y129" s="94">
        <v>17544</v>
      </c>
      <c r="Z129" s="94"/>
      <c r="AA129" s="94"/>
      <c r="AB129" s="94"/>
      <c r="AH129" s="87">
        <v>109</v>
      </c>
      <c r="AI129" s="88" t="s">
        <v>4591</v>
      </c>
      <c r="AJ129" s="88">
        <v>8749050</v>
      </c>
      <c r="AK129" s="87">
        <v>1</v>
      </c>
      <c r="AL129" s="87">
        <f t="shared" si="58"/>
        <v>716</v>
      </c>
      <c r="AM129" s="88">
        <f t="shared" si="57"/>
        <v>6264319800</v>
      </c>
      <c r="AN129" s="87" t="s">
        <v>4592</v>
      </c>
    </row>
    <row r="130" spans="7:43">
      <c r="K130" s="235" t="s">
        <v>4516</v>
      </c>
      <c r="Q130" s="167"/>
      <c r="R130" s="210" t="s">
        <v>5845</v>
      </c>
      <c r="S130" s="210">
        <f>S129-3</f>
        <v>45</v>
      </c>
      <c r="T130" s="210" t="s">
        <v>5882</v>
      </c>
      <c r="U130" s="210">
        <v>1114</v>
      </c>
      <c r="V130" s="97">
        <f t="shared" si="42"/>
        <v>1169.388690410959</v>
      </c>
      <c r="W130" s="32">
        <f t="shared" si="53"/>
        <v>1192.7764642191783</v>
      </c>
      <c r="X130" s="32">
        <f t="shared" si="54"/>
        <v>1216.1642380273975</v>
      </c>
      <c r="Y130" s="94">
        <v>9813</v>
      </c>
      <c r="Z130" s="94"/>
      <c r="AA130" s="94"/>
      <c r="AH130" s="97">
        <v>110</v>
      </c>
      <c r="AI130" s="111" t="s">
        <v>4593</v>
      </c>
      <c r="AJ130" s="111">
        <v>60000</v>
      </c>
      <c r="AK130" s="97">
        <v>1</v>
      </c>
      <c r="AL130" s="97">
        <f t="shared" si="58"/>
        <v>715</v>
      </c>
      <c r="AM130" s="115">
        <f t="shared" si="57"/>
        <v>42900000</v>
      </c>
      <c r="AN130" s="97" t="s">
        <v>4594</v>
      </c>
    </row>
    <row r="131" spans="7:43">
      <c r="K131" s="235" t="s">
        <v>4517</v>
      </c>
      <c r="P131" t="s">
        <v>25</v>
      </c>
      <c r="Q131" s="167"/>
      <c r="R131" s="210" t="s">
        <v>5855</v>
      </c>
      <c r="S131" s="210">
        <f>S130-9</f>
        <v>36</v>
      </c>
      <c r="T131" s="210" t="s">
        <v>5902</v>
      </c>
      <c r="U131" s="210">
        <v>1275</v>
      </c>
      <c r="V131" s="97">
        <f t="shared" si="42"/>
        <v>1329.5909589041096</v>
      </c>
      <c r="W131" s="32">
        <f t="shared" si="53"/>
        <v>1356.1827780821918</v>
      </c>
      <c r="X131" s="32">
        <f t="shared" si="54"/>
        <v>1382.774597260274</v>
      </c>
      <c r="Y131" s="94"/>
      <c r="Z131" s="94">
        <v>49345</v>
      </c>
      <c r="AA131" s="94"/>
      <c r="AH131" s="20">
        <v>111</v>
      </c>
      <c r="AI131" s="115" t="s">
        <v>4602</v>
      </c>
      <c r="AJ131" s="115">
        <v>4750000</v>
      </c>
      <c r="AK131" s="20">
        <v>0</v>
      </c>
      <c r="AL131" s="97">
        <f t="shared" si="58"/>
        <v>714</v>
      </c>
      <c r="AM131" s="115">
        <f t="shared" si="57"/>
        <v>3391500000</v>
      </c>
      <c r="AN131" s="20"/>
      <c r="AQ131" t="s">
        <v>25</v>
      </c>
    </row>
    <row r="132" spans="7:43">
      <c r="Q132" s="167"/>
      <c r="R132" s="210" t="s">
        <v>5896</v>
      </c>
      <c r="S132" s="210">
        <f>S131-9</f>
        <v>27</v>
      </c>
      <c r="T132" s="210" t="s">
        <v>5898</v>
      </c>
      <c r="U132" s="210">
        <v>1179.0999999999999</v>
      </c>
      <c r="V132" s="97">
        <f t="shared" si="42"/>
        <v>1221.4442268493151</v>
      </c>
      <c r="W132" s="32">
        <f t="shared" si="53"/>
        <v>1245.8731113863014</v>
      </c>
      <c r="X132" s="32">
        <f t="shared" si="54"/>
        <v>1270.3019959232877</v>
      </c>
      <c r="Y132" s="94">
        <v>181152</v>
      </c>
      <c r="Z132" s="94"/>
      <c r="AA132" s="94"/>
      <c r="AC132" t="s">
        <v>25</v>
      </c>
      <c r="AH132" s="87">
        <v>112</v>
      </c>
      <c r="AI132" s="88" t="s">
        <v>4602</v>
      </c>
      <c r="AJ132" s="88">
        <v>13101160</v>
      </c>
      <c r="AK132" s="87">
        <v>1</v>
      </c>
      <c r="AL132" s="87">
        <f t="shared" si="58"/>
        <v>714</v>
      </c>
      <c r="AM132" s="88">
        <f t="shared" si="57"/>
        <v>9354228240</v>
      </c>
      <c r="AN132" s="87" t="s">
        <v>4605</v>
      </c>
    </row>
    <row r="133" spans="7:43">
      <c r="Q133" s="167"/>
      <c r="R133" s="210" t="s">
        <v>5899</v>
      </c>
      <c r="S133" s="210">
        <f>S132-11</f>
        <v>16</v>
      </c>
      <c r="T133" s="210" t="s">
        <v>5925</v>
      </c>
      <c r="U133" s="210">
        <v>410</v>
      </c>
      <c r="V133" s="97">
        <f t="shared" si="42"/>
        <v>421.26432876712329</v>
      </c>
      <c r="W133" s="32">
        <f t="shared" si="53"/>
        <v>429.68961534246574</v>
      </c>
      <c r="X133" s="32">
        <f t="shared" si="54"/>
        <v>438.11490191780825</v>
      </c>
      <c r="Y133" s="94"/>
      <c r="Z133" s="94"/>
      <c r="AA133" s="94"/>
      <c r="AH133" s="20">
        <v>113</v>
      </c>
      <c r="AI133" s="115" t="s">
        <v>4604</v>
      </c>
      <c r="AJ133" s="115">
        <v>-980000</v>
      </c>
      <c r="AK133" s="20">
        <v>0</v>
      </c>
      <c r="AL133" s="97">
        <f t="shared" si="58"/>
        <v>713</v>
      </c>
      <c r="AM133" s="115">
        <f t="shared" si="57"/>
        <v>-698740000</v>
      </c>
      <c r="AN133" s="20"/>
    </row>
    <row r="134" spans="7:43">
      <c r="Q134" s="167"/>
      <c r="R134" s="210" t="s">
        <v>5906</v>
      </c>
      <c r="S134" s="210">
        <f>S133-2</f>
        <v>14</v>
      </c>
      <c r="T134" s="210" t="s">
        <v>5907</v>
      </c>
      <c r="U134" s="210">
        <v>1419.5</v>
      </c>
      <c r="V134" s="97">
        <f t="shared" si="42"/>
        <v>1456.3214410958908</v>
      </c>
      <c r="W134" s="32">
        <f t="shared" si="53"/>
        <v>1485.4478699178087</v>
      </c>
      <c r="X134" s="32">
        <f t="shared" si="54"/>
        <v>1514.5742987397266</v>
      </c>
      <c r="Y134" s="94"/>
      <c r="Z134" s="94">
        <v>1455</v>
      </c>
      <c r="AA134" s="94"/>
      <c r="AH134" s="87">
        <v>114</v>
      </c>
      <c r="AI134" s="88" t="s">
        <v>4604</v>
      </c>
      <c r="AJ134" s="88">
        <v>13301790</v>
      </c>
      <c r="AK134" s="87">
        <v>0</v>
      </c>
      <c r="AL134" s="87">
        <f t="shared" si="58"/>
        <v>713</v>
      </c>
      <c r="AM134" s="88">
        <f t="shared" si="57"/>
        <v>9484176270</v>
      </c>
      <c r="AN134" s="87" t="s">
        <v>4605</v>
      </c>
      <c r="AQ134" t="s">
        <v>25</v>
      </c>
    </row>
    <row r="135" spans="7:43">
      <c r="Q135" s="167"/>
      <c r="R135" s="210" t="s">
        <v>5906</v>
      </c>
      <c r="S135" s="210">
        <f>S134</f>
        <v>14</v>
      </c>
      <c r="T135" s="210" t="s">
        <v>5908</v>
      </c>
      <c r="U135" s="210">
        <v>2.1</v>
      </c>
      <c r="V135" s="97">
        <f t="shared" si="42"/>
        <v>2.1544734246575348</v>
      </c>
      <c r="W135" s="32">
        <f t="shared" si="53"/>
        <v>2.1975628931506854</v>
      </c>
      <c r="X135" s="32">
        <f t="shared" si="54"/>
        <v>2.2406523616438361</v>
      </c>
      <c r="Y135" s="94"/>
      <c r="Z135" s="94"/>
      <c r="AA135" s="94"/>
      <c r="AH135" s="20">
        <v>115</v>
      </c>
      <c r="AI135" s="115" t="s">
        <v>4604</v>
      </c>
      <c r="AJ135" s="115">
        <v>404000</v>
      </c>
      <c r="AK135" s="20">
        <v>5</v>
      </c>
      <c r="AL135" s="97">
        <f t="shared" si="58"/>
        <v>713</v>
      </c>
      <c r="AM135" s="115">
        <f t="shared" si="57"/>
        <v>288052000</v>
      </c>
      <c r="AN135" s="20" t="s">
        <v>4611</v>
      </c>
    </row>
    <row r="136" spans="7:43">
      <c r="G136" s="210"/>
      <c r="H136" s="210" t="s">
        <v>5580</v>
      </c>
      <c r="I136" s="213" t="s">
        <v>5726</v>
      </c>
      <c r="J136" s="1">
        <v>150000000</v>
      </c>
      <c r="Q136" s="167"/>
      <c r="R136" s="210" t="s">
        <v>5919</v>
      </c>
      <c r="S136" s="210">
        <f>S135-4</f>
        <v>10</v>
      </c>
      <c r="T136" s="210" t="s">
        <v>5965</v>
      </c>
      <c r="U136" s="210">
        <v>490</v>
      </c>
      <c r="V136" s="97">
        <f t="shared" si="42"/>
        <v>501.20690410958912</v>
      </c>
      <c r="W136" s="32">
        <f t="shared" si="53"/>
        <v>511.23104219178089</v>
      </c>
      <c r="X136" s="32">
        <f t="shared" si="54"/>
        <v>521.25518027397266</v>
      </c>
      <c r="Y136" s="94"/>
      <c r="Z136" s="94"/>
      <c r="AA136" s="94"/>
      <c r="AH136" s="87">
        <v>116</v>
      </c>
      <c r="AI136" s="88" t="s">
        <v>4621</v>
      </c>
      <c r="AJ136" s="88">
        <v>4291628</v>
      </c>
      <c r="AK136" s="87">
        <v>2</v>
      </c>
      <c r="AL136" s="87">
        <f t="shared" si="58"/>
        <v>708</v>
      </c>
      <c r="AM136" s="88">
        <f t="shared" si="57"/>
        <v>3038472624</v>
      </c>
      <c r="AN136" s="87" t="s">
        <v>4622</v>
      </c>
    </row>
    <row r="137" spans="7:43">
      <c r="G137" s="1">
        <f>P48</f>
        <v>1055</v>
      </c>
      <c r="H137" s="210" t="s">
        <v>4219</v>
      </c>
      <c r="I137" s="210">
        <v>267254</v>
      </c>
      <c r="J137" s="1">
        <f>G137*I137</f>
        <v>281952970</v>
      </c>
      <c r="Q137" s="167"/>
      <c r="R137" s="210" t="s">
        <v>5921</v>
      </c>
      <c r="S137" s="210">
        <f>S136-1</f>
        <v>9</v>
      </c>
      <c r="T137" s="210" t="s">
        <v>5923</v>
      </c>
      <c r="U137" s="210">
        <v>15145</v>
      </c>
      <c r="V137" s="97">
        <f t="shared" si="42"/>
        <v>15479.76673972603</v>
      </c>
      <c r="W137" s="32">
        <f t="shared" si="53"/>
        <v>15789.362074520552</v>
      </c>
      <c r="X137" s="32">
        <f t="shared" si="54"/>
        <v>16098.957409315071</v>
      </c>
      <c r="Y137" s="94"/>
      <c r="Z137" s="94"/>
      <c r="AA137" s="94">
        <v>189</v>
      </c>
      <c r="AC137" t="s">
        <v>25</v>
      </c>
      <c r="AH137" s="20">
        <v>117</v>
      </c>
      <c r="AI137" s="115" t="s">
        <v>4624</v>
      </c>
      <c r="AJ137" s="115">
        <v>1000</v>
      </c>
      <c r="AK137" s="20">
        <v>5</v>
      </c>
      <c r="AL137" s="20">
        <f t="shared" si="58"/>
        <v>706</v>
      </c>
      <c r="AM137" s="115">
        <f t="shared" si="57"/>
        <v>706000</v>
      </c>
      <c r="AN137" s="20"/>
    </row>
    <row r="138" spans="7:43">
      <c r="G138" s="1">
        <f>P52</f>
        <v>1278</v>
      </c>
      <c r="H138" s="210" t="s">
        <v>5291</v>
      </c>
      <c r="I138" s="210">
        <v>35658</v>
      </c>
      <c r="J138" s="1">
        <f>G138*I138</f>
        <v>45570924</v>
      </c>
      <c r="P138" t="s">
        <v>25</v>
      </c>
      <c r="Q138" s="167"/>
      <c r="R138" s="210" t="s">
        <v>5924</v>
      </c>
      <c r="S138" s="210">
        <f>S137-1</f>
        <v>8</v>
      </c>
      <c r="T138" s="210" t="s">
        <v>5926</v>
      </c>
      <c r="U138" s="210">
        <v>1359</v>
      </c>
      <c r="V138" s="97">
        <f t="shared" si="42"/>
        <v>1387.9969643835618</v>
      </c>
      <c r="W138" s="32">
        <f t="shared" si="53"/>
        <v>1415.756903671233</v>
      </c>
      <c r="X138" s="32">
        <f t="shared" si="54"/>
        <v>1443.5168429589044</v>
      </c>
      <c r="Y138" s="94"/>
      <c r="Z138" s="94">
        <v>2935</v>
      </c>
      <c r="AA138" s="94"/>
      <c r="AH138" s="119">
        <v>118</v>
      </c>
      <c r="AI138" s="77" t="s">
        <v>4632</v>
      </c>
      <c r="AJ138" s="77">
        <v>8739459</v>
      </c>
      <c r="AK138" s="119">
        <v>2</v>
      </c>
      <c r="AL138" s="119">
        <f t="shared" si="58"/>
        <v>701</v>
      </c>
      <c r="AM138" s="77">
        <f t="shared" si="57"/>
        <v>6126360759</v>
      </c>
      <c r="AN138" s="119" t="s">
        <v>4592</v>
      </c>
    </row>
    <row r="139" spans="7:43">
      <c r="G139" s="210"/>
      <c r="H139" s="210"/>
      <c r="I139" s="210"/>
      <c r="J139" s="1"/>
      <c r="O139" s="94"/>
      <c r="Q139" s="167"/>
      <c r="R139" s="210" t="s">
        <v>5966</v>
      </c>
      <c r="S139" s="210">
        <f>S138-8</f>
        <v>0</v>
      </c>
      <c r="T139" s="210" t="s">
        <v>5967</v>
      </c>
      <c r="U139" s="210">
        <v>14780</v>
      </c>
      <c r="V139" s="97">
        <f t="shared" si="42"/>
        <v>15004.656000000001</v>
      </c>
      <c r="W139" s="32">
        <f t="shared" si="53"/>
        <v>15304.74912</v>
      </c>
      <c r="X139" s="32">
        <f t="shared" si="54"/>
        <v>15604.842240000002</v>
      </c>
      <c r="Y139" s="94"/>
      <c r="Z139" s="94"/>
      <c r="AA139" s="94">
        <v>264</v>
      </c>
      <c r="AH139" s="119">
        <v>119</v>
      </c>
      <c r="AI139" s="77" t="s">
        <v>4633</v>
      </c>
      <c r="AJ139" s="77">
        <v>17595278</v>
      </c>
      <c r="AK139" s="119">
        <v>1</v>
      </c>
      <c r="AL139" s="119">
        <f t="shared" si="58"/>
        <v>699</v>
      </c>
      <c r="AM139" s="77">
        <f t="shared" si="57"/>
        <v>12299099322</v>
      </c>
      <c r="AN139" s="119" t="s">
        <v>4635</v>
      </c>
      <c r="AQ139" t="s">
        <v>25</v>
      </c>
    </row>
    <row r="140" spans="7:43">
      <c r="G140" s="210"/>
      <c r="H140" s="111"/>
      <c r="I140" s="275">
        <f>J140-J136</f>
        <v>177523894</v>
      </c>
      <c r="J140" s="1">
        <f>SUM(J137:J138)</f>
        <v>327523894</v>
      </c>
      <c r="K140" t="s">
        <v>25</v>
      </c>
      <c r="Q140" s="167"/>
      <c r="R140" s="210" t="s">
        <v>5972</v>
      </c>
      <c r="S140" s="210">
        <f>S139-1</f>
        <v>-1</v>
      </c>
      <c r="T140" s="210" t="s">
        <v>5977</v>
      </c>
      <c r="U140" s="210">
        <v>1279</v>
      </c>
      <c r="V140" s="97">
        <f t="shared" si="42"/>
        <v>1297.4596493150686</v>
      </c>
      <c r="W140" s="32">
        <f t="shared" si="53"/>
        <v>1323.40884230137</v>
      </c>
      <c r="X140" s="32">
        <f t="shared" si="54"/>
        <v>1349.3580352876713</v>
      </c>
      <c r="Y140" s="94"/>
      <c r="Z140" s="94">
        <v>100</v>
      </c>
      <c r="AA140" s="94"/>
      <c r="AH140" s="119">
        <v>120</v>
      </c>
      <c r="AI140" s="77" t="s">
        <v>4634</v>
      </c>
      <c r="AJ140" s="77">
        <v>13335309</v>
      </c>
      <c r="AK140" s="119">
        <v>13</v>
      </c>
      <c r="AL140" s="119">
        <f t="shared" si="58"/>
        <v>698</v>
      </c>
      <c r="AM140" s="77">
        <f t="shared" si="57"/>
        <v>9308045682</v>
      </c>
      <c r="AN140" s="119" t="s">
        <v>4605</v>
      </c>
    </row>
    <row r="141" spans="7:43">
      <c r="G141" s="210"/>
      <c r="H141" s="210"/>
      <c r="I141" s="210" t="s">
        <v>5450</v>
      </c>
      <c r="J141" s="210" t="s">
        <v>6</v>
      </c>
      <c r="Q141" s="167"/>
      <c r="R141" s="210"/>
      <c r="S141" s="210"/>
      <c r="T141" s="210"/>
      <c r="U141" s="210"/>
      <c r="V141" s="97"/>
      <c r="W141" s="32"/>
      <c r="X141" s="32"/>
      <c r="Y141" s="94"/>
      <c r="Z141" s="94"/>
      <c r="AA141" s="94"/>
      <c r="AH141" s="159">
        <v>121</v>
      </c>
      <c r="AI141" s="223" t="s">
        <v>4685</v>
      </c>
      <c r="AJ141" s="223">
        <v>50000000</v>
      </c>
      <c r="AK141" s="159">
        <v>11</v>
      </c>
      <c r="AL141" s="159">
        <f t="shared" si="58"/>
        <v>685</v>
      </c>
      <c r="AM141" s="223">
        <f t="shared" si="57"/>
        <v>34250000000</v>
      </c>
      <c r="AN141" s="159" t="s">
        <v>4686</v>
      </c>
      <c r="AP141" t="s">
        <v>25</v>
      </c>
    </row>
    <row r="142" spans="7:43">
      <c r="J142" s="94">
        <f>I137+O43</f>
        <v>314635</v>
      </c>
      <c r="P142" t="s">
        <v>25</v>
      </c>
      <c r="Q142" s="167"/>
      <c r="R142" s="210"/>
      <c r="S142" s="210"/>
      <c r="T142" s="210"/>
      <c r="U142" s="210"/>
      <c r="V142" s="97"/>
      <c r="W142" s="32"/>
      <c r="X142" s="32"/>
      <c r="Y142" s="94"/>
      <c r="Z142" s="94"/>
      <c r="AA142" s="94"/>
      <c r="AH142" s="20">
        <v>122</v>
      </c>
      <c r="AI142" s="115" t="s">
        <v>959</v>
      </c>
      <c r="AJ142" s="115">
        <v>30000</v>
      </c>
      <c r="AK142" s="20">
        <v>3</v>
      </c>
      <c r="AL142" s="20">
        <f t="shared" si="58"/>
        <v>674</v>
      </c>
      <c r="AM142" s="115">
        <f t="shared" si="57"/>
        <v>20220000</v>
      </c>
      <c r="AN142" s="20"/>
    </row>
    <row r="143" spans="7:43">
      <c r="K143" s="94"/>
      <c r="L143" s="94"/>
      <c r="M143" s="94"/>
      <c r="Q143" s="167"/>
      <c r="R143" s="166"/>
      <c r="S143" s="166"/>
      <c r="T143" s="166" t="s">
        <v>25</v>
      </c>
      <c r="U143" s="166"/>
      <c r="V143" s="97">
        <f>U143*(1+$R$104+$Q$15*S143/36500)</f>
        <v>0</v>
      </c>
      <c r="W143" s="32">
        <f t="shared" si="53"/>
        <v>0</v>
      </c>
      <c r="X143" s="32">
        <f t="shared" si="54"/>
        <v>0</v>
      </c>
      <c r="Z143" t="s">
        <v>25</v>
      </c>
      <c r="AA143" s="94"/>
      <c r="AB143" t="s">
        <v>25</v>
      </c>
      <c r="AH143" s="20">
        <v>123</v>
      </c>
      <c r="AI143" s="115" t="s">
        <v>4744</v>
      </c>
      <c r="AJ143" s="115">
        <v>600000</v>
      </c>
      <c r="AK143" s="20">
        <v>1</v>
      </c>
      <c r="AL143" s="20">
        <f t="shared" si="58"/>
        <v>671</v>
      </c>
      <c r="AM143" s="115">
        <f t="shared" si="57"/>
        <v>402600000</v>
      </c>
      <c r="AN143" s="20"/>
    </row>
    <row r="144" spans="7:43">
      <c r="G144" s="32" t="s">
        <v>4219</v>
      </c>
      <c r="H144" s="32"/>
      <c r="I144" s="32" t="s">
        <v>4361</v>
      </c>
      <c r="K144" s="94"/>
      <c r="L144" s="94"/>
      <c r="M144" s="94"/>
      <c r="Q144" s="111">
        <f>SUM(N43:N53)-SUM(Q108:Q143)</f>
        <v>3031089668.36867</v>
      </c>
      <c r="R144" s="110"/>
      <c r="S144" s="110"/>
      <c r="T144" s="110"/>
      <c r="U144" s="166"/>
      <c r="V144" s="97" t="s">
        <v>25</v>
      </c>
      <c r="W144" s="32"/>
      <c r="X144" s="32"/>
      <c r="Y144" t="s">
        <v>25</v>
      </c>
      <c r="Z144" t="s">
        <v>25</v>
      </c>
      <c r="AA144" s="94" t="s">
        <v>25</v>
      </c>
      <c r="AH144" s="20">
        <v>124</v>
      </c>
      <c r="AI144" s="115" t="s">
        <v>4747</v>
      </c>
      <c r="AJ144" s="115">
        <v>30000</v>
      </c>
      <c r="AK144" s="20">
        <v>3</v>
      </c>
      <c r="AL144" s="20">
        <f t="shared" si="58"/>
        <v>670</v>
      </c>
      <c r="AM144" s="115">
        <f t="shared" si="57"/>
        <v>20100000</v>
      </c>
      <c r="AN144" s="20"/>
    </row>
    <row r="145" spans="5:44">
      <c r="G145" s="32">
        <f>O21+O30+O48+I137</f>
        <v>7500884</v>
      </c>
      <c r="H145" s="32" t="s">
        <v>5474</v>
      </c>
      <c r="I145" s="32">
        <f>O22+O28+O47+I138+O43</f>
        <v>179194</v>
      </c>
      <c r="J145" s="112"/>
      <c r="K145" s="94"/>
      <c r="L145" s="94"/>
      <c r="M145" s="94"/>
      <c r="Q145" s="26"/>
      <c r="R145" s="179"/>
      <c r="S145" s="179"/>
      <c r="T145" t="s">
        <v>25</v>
      </c>
      <c r="U145" s="94" t="s">
        <v>25</v>
      </c>
      <c r="V145" s="94" t="s">
        <v>25</v>
      </c>
      <c r="W145" s="94" t="s">
        <v>25</v>
      </c>
      <c r="Y145" t="s">
        <v>25</v>
      </c>
      <c r="Z145" t="s">
        <v>25</v>
      </c>
      <c r="AA145" s="94" t="s">
        <v>25</v>
      </c>
      <c r="AH145" s="20">
        <v>125</v>
      </c>
      <c r="AI145" s="115" t="s">
        <v>4753</v>
      </c>
      <c r="AJ145" s="115">
        <v>2250000</v>
      </c>
      <c r="AK145" s="20">
        <v>1</v>
      </c>
      <c r="AL145" s="20">
        <f t="shared" si="58"/>
        <v>667</v>
      </c>
      <c r="AM145" s="115">
        <f>AJ145*AL145</f>
        <v>1500750000</v>
      </c>
      <c r="AN145" s="20"/>
      <c r="AR145" t="s">
        <v>25</v>
      </c>
    </row>
    <row r="146" spans="5:44">
      <c r="G146" s="32">
        <f>(J138+N29+N22+N24+N28+N46+N47+N43)/P48</f>
        <v>242110.41611374408</v>
      </c>
      <c r="H146" s="290" t="s">
        <v>5475</v>
      </c>
      <c r="I146" s="32">
        <f>(J137+N29+N48+N46+N30+N24+N21)/P47</f>
        <v>375019.5820754717</v>
      </c>
      <c r="J146" s="112"/>
      <c r="K146" s="94"/>
      <c r="L146" s="94" t="s">
        <v>25</v>
      </c>
      <c r="M146" s="94"/>
      <c r="P146" s="112"/>
      <c r="R146" s="32" t="s">
        <v>4519</v>
      </c>
      <c r="S146" s="32" t="s">
        <v>935</v>
      </c>
      <c r="T146" t="s">
        <v>25</v>
      </c>
      <c r="U146" s="94" t="s">
        <v>25</v>
      </c>
      <c r="V146" s="94" t="s">
        <v>25</v>
      </c>
      <c r="W146" s="94" t="s">
        <v>25</v>
      </c>
      <c r="X146" s="120" t="s">
        <v>25</v>
      </c>
      <c r="Y146" t="s">
        <v>25</v>
      </c>
      <c r="Z146" t="s">
        <v>25</v>
      </c>
      <c r="AH146" s="23">
        <v>126</v>
      </c>
      <c r="AI146" s="35" t="s">
        <v>4758</v>
      </c>
      <c r="AJ146" s="35">
        <v>-31412200</v>
      </c>
      <c r="AK146" s="23">
        <v>1</v>
      </c>
      <c r="AL146" s="20">
        <f t="shared" si="58"/>
        <v>666</v>
      </c>
      <c r="AM146" s="35">
        <f>AJ146*AL146</f>
        <v>-20920525200</v>
      </c>
      <c r="AN146" s="23" t="s">
        <v>4746</v>
      </c>
    </row>
    <row r="147" spans="5:44">
      <c r="G147" s="32">
        <f>G145+G146</f>
        <v>7742994.4161137445</v>
      </c>
      <c r="H147" s="32" t="s">
        <v>5476</v>
      </c>
      <c r="I147" s="32">
        <f>I145+I146</f>
        <v>554213.58207547176</v>
      </c>
      <c r="J147" s="112"/>
      <c r="K147" s="94"/>
      <c r="L147" s="94"/>
      <c r="N147" s="94"/>
      <c r="O147" s="94"/>
      <c r="R147" s="32">
        <v>183003</v>
      </c>
      <c r="S147" s="167">
        <v>152128600.70081395</v>
      </c>
      <c r="T147" t="s">
        <v>25</v>
      </c>
      <c r="U147" s="94" t="s">
        <v>25</v>
      </c>
      <c r="V147" s="120" t="s">
        <v>25</v>
      </c>
      <c r="W147" s="94" t="s">
        <v>25</v>
      </c>
      <c r="X147" t="s">
        <v>25</v>
      </c>
      <c r="Y147" t="s">
        <v>25</v>
      </c>
      <c r="Z147" t="s">
        <v>25</v>
      </c>
      <c r="AA147" t="s">
        <v>25</v>
      </c>
      <c r="AH147" s="20">
        <v>127</v>
      </c>
      <c r="AI147" s="115" t="s">
        <v>4767</v>
      </c>
      <c r="AJ147" s="115">
        <v>70000</v>
      </c>
      <c r="AK147" s="20">
        <v>9</v>
      </c>
      <c r="AL147" s="20">
        <f t="shared" si="58"/>
        <v>665</v>
      </c>
      <c r="AM147" s="115">
        <f>AJ147*AL147</f>
        <v>46550000</v>
      </c>
      <c r="AN147" s="20"/>
    </row>
    <row r="148" spans="5:44">
      <c r="G148" s="32">
        <f>(W154+W155)/P48</f>
        <v>351443.36794298643</v>
      </c>
      <c r="H148" s="32" t="s">
        <v>5451</v>
      </c>
      <c r="I148" s="32">
        <f>(W154+W155)/P47</f>
        <v>17489.280810370317</v>
      </c>
      <c r="J148" s="112"/>
      <c r="K148" s="94"/>
      <c r="L148" s="94"/>
      <c r="M148" s="94"/>
      <c r="N148" s="94"/>
      <c r="O148" s="94"/>
      <c r="Q148" t="s">
        <v>25</v>
      </c>
      <c r="R148" s="32">
        <v>1851</v>
      </c>
      <c r="S148" s="1">
        <f>S147*R148/R147</f>
        <v>1538718.1625285193</v>
      </c>
      <c r="T148" s="112" t="s">
        <v>25</v>
      </c>
      <c r="U148" s="94" t="s">
        <v>25</v>
      </c>
      <c r="V148" s="120" t="s">
        <v>25</v>
      </c>
      <c r="W148" s="94" t="s">
        <v>25</v>
      </c>
      <c r="X148" t="s">
        <v>25</v>
      </c>
      <c r="Y148" t="s">
        <v>25</v>
      </c>
      <c r="Z148" t="s">
        <v>25</v>
      </c>
      <c r="AB148" s="94"/>
      <c r="AH148" s="97">
        <v>128</v>
      </c>
      <c r="AI148" s="111" t="s">
        <v>4774</v>
      </c>
      <c r="AJ148" s="111">
        <v>20000</v>
      </c>
      <c r="AK148" s="97">
        <v>10</v>
      </c>
      <c r="AL148" s="20">
        <f t="shared" si="58"/>
        <v>656</v>
      </c>
      <c r="AM148" s="115">
        <f>AJ148*AL148</f>
        <v>13120000</v>
      </c>
      <c r="AN148" s="20"/>
      <c r="AP148" t="s">
        <v>25</v>
      </c>
    </row>
    <row r="149" spans="5:44">
      <c r="G149" s="32">
        <f>W152/P48</f>
        <v>2655486.212832537</v>
      </c>
      <c r="H149" s="32" t="s">
        <v>481</v>
      </c>
      <c r="I149" s="32">
        <f>W152/P47</f>
        <v>132148.01672350598</v>
      </c>
      <c r="J149" s="112"/>
      <c r="K149" s="94"/>
      <c r="L149" s="94"/>
      <c r="N149" s="94"/>
      <c r="O149" s="94"/>
      <c r="R149" s="32">
        <f>R147-R148</f>
        <v>181152</v>
      </c>
      <c r="S149" s="1">
        <f>R149*S147/R147</f>
        <v>150589882.53828543</v>
      </c>
      <c r="T149" t="s">
        <v>25</v>
      </c>
      <c r="U149" s="120" t="s">
        <v>25</v>
      </c>
      <c r="V149" s="94"/>
      <c r="W149" s="120" t="s">
        <v>25</v>
      </c>
      <c r="X149" t="s">
        <v>25</v>
      </c>
      <c r="Y149" t="s">
        <v>25</v>
      </c>
      <c r="Z149" t="s">
        <v>25</v>
      </c>
      <c r="AA149" t="s">
        <v>25</v>
      </c>
      <c r="AB149" s="94"/>
      <c r="AH149" s="97">
        <v>129</v>
      </c>
      <c r="AI149" s="111" t="s">
        <v>4794</v>
      </c>
      <c r="AJ149" s="111">
        <v>1000000</v>
      </c>
      <c r="AK149" s="97">
        <v>1</v>
      </c>
      <c r="AL149" s="20">
        <f t="shared" si="58"/>
        <v>646</v>
      </c>
      <c r="AM149" s="115">
        <f>AJ149*AL149</f>
        <v>646000000</v>
      </c>
      <c r="AN149" s="20"/>
    </row>
    <row r="150" spans="5:44">
      <c r="E150" s="121"/>
      <c r="G150" s="32">
        <f>G147-G148-G149</f>
        <v>4736064.8353382219</v>
      </c>
      <c r="H150" s="32" t="s">
        <v>5</v>
      </c>
      <c r="I150" s="32">
        <f>I147-I148-I149</f>
        <v>404576.28454159544</v>
      </c>
      <c r="J150" s="112"/>
      <c r="K150" s="94"/>
      <c r="L150" s="94"/>
      <c r="M150" t="s">
        <v>25</v>
      </c>
      <c r="N150" s="94"/>
      <c r="O150" s="94"/>
      <c r="T150" t="s">
        <v>25</v>
      </c>
      <c r="V150" s="94"/>
      <c r="W150"/>
      <c r="X150" t="s">
        <v>25</v>
      </c>
      <c r="Y150" t="s">
        <v>25</v>
      </c>
      <c r="Z150" t="s">
        <v>25</v>
      </c>
      <c r="AA150" t="s">
        <v>25</v>
      </c>
      <c r="AC150" s="112"/>
      <c r="AD150" s="112"/>
      <c r="AH150" s="97">
        <v>130</v>
      </c>
      <c r="AI150" s="111" t="s">
        <v>4795</v>
      </c>
      <c r="AJ150" s="111">
        <v>65630227</v>
      </c>
      <c r="AK150" s="97">
        <v>0</v>
      </c>
      <c r="AL150" s="20">
        <f t="shared" si="58"/>
        <v>645</v>
      </c>
      <c r="AM150" s="115">
        <f t="shared" ref="AM150:AM177" si="59">AJ150*AL150</f>
        <v>42331496415</v>
      </c>
      <c r="AN150" s="20" t="s">
        <v>4798</v>
      </c>
      <c r="AP150" t="s">
        <v>25</v>
      </c>
      <c r="AR150" t="s">
        <v>25</v>
      </c>
    </row>
    <row r="151" spans="5:44">
      <c r="N151" s="94"/>
      <c r="O151" s="94"/>
      <c r="Q151" s="94" t="s">
        <v>25</v>
      </c>
      <c r="R151" s="94"/>
      <c r="S151" s="94"/>
      <c r="T151" s="94"/>
      <c r="U151" s="306" t="s">
        <v>4408</v>
      </c>
      <c r="V151" s="306" t="s">
        <v>4421</v>
      </c>
      <c r="W151" s="306" t="s">
        <v>4422</v>
      </c>
      <c r="X151" t="s">
        <v>25</v>
      </c>
      <c r="Y151" t="s">
        <v>25</v>
      </c>
      <c r="AA151" t="s">
        <v>25</v>
      </c>
      <c r="AC151" s="112"/>
      <c r="AH151" s="97">
        <v>131</v>
      </c>
      <c r="AI151" s="111" t="s">
        <v>4795</v>
      </c>
      <c r="AJ151" s="111">
        <v>-3500000</v>
      </c>
      <c r="AK151" s="97">
        <v>6</v>
      </c>
      <c r="AL151" s="20">
        <f t="shared" si="58"/>
        <v>645</v>
      </c>
      <c r="AM151" s="115">
        <f t="shared" si="59"/>
        <v>-2257500000</v>
      </c>
      <c r="AN151" s="20" t="s">
        <v>4797</v>
      </c>
    </row>
    <row r="152" spans="5:44">
      <c r="N152" s="94"/>
      <c r="O152" s="94"/>
      <c r="P152" s="112"/>
      <c r="Q152" s="94"/>
      <c r="R152" s="94"/>
      <c r="S152" s="94" t="s">
        <v>25</v>
      </c>
      <c r="T152" s="120">
        <f>V153-V158</f>
        <v>2585276</v>
      </c>
      <c r="U152" s="306" t="s">
        <v>744</v>
      </c>
      <c r="V152" s="306">
        <v>1473953</v>
      </c>
      <c r="W152" s="88">
        <f>V152*$T$481</f>
        <v>2801537954.5383267</v>
      </c>
      <c r="X152">
        <f>W152*100/$W$158</f>
        <v>34.646185119482624</v>
      </c>
      <c r="Y152" t="s">
        <v>25</v>
      </c>
      <c r="Z152" t="s">
        <v>25</v>
      </c>
      <c r="AA152" t="s">
        <v>25</v>
      </c>
      <c r="AC152" s="112"/>
      <c r="AD152" s="112"/>
      <c r="AH152" s="97">
        <v>132</v>
      </c>
      <c r="AI152" s="111" t="s">
        <v>4807</v>
      </c>
      <c r="AJ152" s="111">
        <v>2520000</v>
      </c>
      <c r="AK152" s="97">
        <v>12</v>
      </c>
      <c r="AL152" s="20">
        <f t="shared" si="58"/>
        <v>639</v>
      </c>
      <c r="AM152" s="115">
        <f t="shared" si="59"/>
        <v>1610280000</v>
      </c>
      <c r="AN152" s="20"/>
    </row>
    <row r="153" spans="5:44">
      <c r="K153" s="94"/>
      <c r="L153" s="94"/>
      <c r="T153" s="120"/>
      <c r="U153" s="306" t="s">
        <v>4410</v>
      </c>
      <c r="V153" s="306">
        <v>2585276</v>
      </c>
      <c r="W153" s="88">
        <f>V153*$T$481</f>
        <v>4913826178.2818222</v>
      </c>
      <c r="X153" s="94">
        <f>W153*100/$W$158</f>
        <v>60.768525781321074</v>
      </c>
      <c r="Y153" t="s">
        <v>25</v>
      </c>
      <c r="Z153" t="s">
        <v>25</v>
      </c>
      <c r="AA153" t="s">
        <v>25</v>
      </c>
      <c r="AH153" s="97">
        <v>133</v>
      </c>
      <c r="AI153" s="111" t="s">
        <v>4842</v>
      </c>
      <c r="AJ153" s="111">
        <v>1400000</v>
      </c>
      <c r="AK153" s="97">
        <v>4</v>
      </c>
      <c r="AL153" s="20">
        <f t="shared" si="58"/>
        <v>627</v>
      </c>
      <c r="AM153" s="115">
        <f t="shared" si="59"/>
        <v>877800000</v>
      </c>
      <c r="AN153" s="20"/>
    </row>
    <row r="154" spans="5:44">
      <c r="P154" s="112"/>
      <c r="Q154" t="s">
        <v>25</v>
      </c>
      <c r="T154" s="94">
        <f>V152-V158</f>
        <v>1473953</v>
      </c>
      <c r="U154" s="306" t="s">
        <v>4409</v>
      </c>
      <c r="V154" s="306">
        <v>51866</v>
      </c>
      <c r="W154" s="88">
        <f>V154*$T$481</f>
        <v>98581547.410320982</v>
      </c>
      <c r="X154" s="94">
        <f>W154*100/$W$158</f>
        <v>1.2191426981776796</v>
      </c>
      <c r="Y154" t="s">
        <v>25</v>
      </c>
      <c r="Z154" t="s">
        <v>25</v>
      </c>
      <c r="AH154" s="97">
        <v>134</v>
      </c>
      <c r="AI154" s="111" t="s">
        <v>4863</v>
      </c>
      <c r="AJ154" s="111">
        <v>1550000</v>
      </c>
      <c r="AK154" s="97">
        <v>2</v>
      </c>
      <c r="AL154" s="20">
        <f t="shared" si="58"/>
        <v>623</v>
      </c>
      <c r="AM154" s="115">
        <f t="shared" si="59"/>
        <v>965650000</v>
      </c>
      <c r="AN154" s="20"/>
    </row>
    <row r="155" spans="5:44">
      <c r="G155" s="32" t="s">
        <v>180</v>
      </c>
      <c r="H155" s="32" t="s">
        <v>5477</v>
      </c>
      <c r="I155" s="210" t="s">
        <v>5478</v>
      </c>
      <c r="J155" s="210" t="s">
        <v>5479</v>
      </c>
      <c r="K155" s="32" t="s">
        <v>5480</v>
      </c>
      <c r="L155" s="97" t="s">
        <v>5494</v>
      </c>
      <c r="M155" s="97" t="s">
        <v>5495</v>
      </c>
      <c r="P155" s="94"/>
      <c r="Q155" t="s">
        <v>25</v>
      </c>
      <c r="T155" s="94"/>
      <c r="U155" s="306" t="s">
        <v>1071</v>
      </c>
      <c r="V155" s="306">
        <v>143206</v>
      </c>
      <c r="W155" s="88">
        <f>V155*$T$481</f>
        <v>272191205.7695297</v>
      </c>
      <c r="X155" s="94">
        <f>W155*100/$W$158</f>
        <v>3.3661464010186397</v>
      </c>
      <c r="Z155" t="s">
        <v>25</v>
      </c>
      <c r="AH155" s="97">
        <v>135</v>
      </c>
      <c r="AI155" s="111" t="s">
        <v>4814</v>
      </c>
      <c r="AJ155" s="111">
        <v>250000</v>
      </c>
      <c r="AK155" s="97">
        <v>6</v>
      </c>
      <c r="AL155" s="20">
        <f t="shared" si="58"/>
        <v>621</v>
      </c>
      <c r="AM155" s="115">
        <f t="shared" si="59"/>
        <v>155250000</v>
      </c>
      <c r="AN155" s="20"/>
    </row>
    <row r="156" spans="5:44">
      <c r="G156" s="32" t="s">
        <v>5465</v>
      </c>
      <c r="H156" s="32">
        <v>3256760</v>
      </c>
      <c r="I156" s="210">
        <v>245992</v>
      </c>
      <c r="J156" s="210">
        <v>2544443</v>
      </c>
      <c r="K156" s="32">
        <v>192693</v>
      </c>
      <c r="L156" s="97">
        <f t="shared" ref="L156:L164" si="60">H156+J156</f>
        <v>5801203</v>
      </c>
      <c r="M156" s="97">
        <f t="shared" ref="M156:M164" si="61">I156+K156</f>
        <v>438685</v>
      </c>
      <c r="T156" s="94"/>
      <c r="U156" s="306"/>
      <c r="V156" s="306"/>
      <c r="W156" s="306"/>
      <c r="X156" s="113"/>
      <c r="Y156" t="s">
        <v>25</v>
      </c>
      <c r="AH156" s="97">
        <v>136</v>
      </c>
      <c r="AI156" s="111" t="s">
        <v>4872</v>
      </c>
      <c r="AJ156" s="111">
        <v>-48527480</v>
      </c>
      <c r="AK156" s="97">
        <v>14</v>
      </c>
      <c r="AL156" s="20">
        <f t="shared" si="58"/>
        <v>615</v>
      </c>
      <c r="AM156" s="115">
        <f t="shared" si="59"/>
        <v>-29844400200</v>
      </c>
      <c r="AN156" s="20" t="s">
        <v>4874</v>
      </c>
    </row>
    <row r="157" spans="5:44">
      <c r="G157" s="32" t="s">
        <v>5481</v>
      </c>
      <c r="H157" s="32">
        <v>3245022</v>
      </c>
      <c r="I157" s="210">
        <v>249261</v>
      </c>
      <c r="J157" s="210">
        <v>2532877</v>
      </c>
      <c r="K157" s="32">
        <v>195062</v>
      </c>
      <c r="L157" s="97">
        <f t="shared" si="60"/>
        <v>5777899</v>
      </c>
      <c r="M157" s="97">
        <f t="shared" si="61"/>
        <v>444323</v>
      </c>
      <c r="Q157" t="s">
        <v>25</v>
      </c>
      <c r="S157" t="s">
        <v>25</v>
      </c>
      <c r="T157" s="94" t="s">
        <v>25</v>
      </c>
      <c r="U157" s="87"/>
      <c r="V157" s="87">
        <f>SUM(V152:V155)</f>
        <v>4254301</v>
      </c>
      <c r="W157" s="87"/>
      <c r="X157" s="112" t="s">
        <v>25</v>
      </c>
      <c r="Y157" t="s">
        <v>25</v>
      </c>
      <c r="Z157" t="s">
        <v>25</v>
      </c>
      <c r="AH157" s="97">
        <v>137</v>
      </c>
      <c r="AI157" s="111" t="s">
        <v>4895</v>
      </c>
      <c r="AJ157" s="111">
        <v>2100000</v>
      </c>
      <c r="AK157" s="97">
        <v>1</v>
      </c>
      <c r="AL157" s="20">
        <f t="shared" si="58"/>
        <v>601</v>
      </c>
      <c r="AM157" s="115">
        <f t="shared" si="59"/>
        <v>1262100000</v>
      </c>
      <c r="AN157" s="20"/>
    </row>
    <row r="158" spans="5:44">
      <c r="G158" s="32" t="s">
        <v>5482</v>
      </c>
      <c r="H158" s="32"/>
      <c r="I158" s="210"/>
      <c r="J158" s="210"/>
      <c r="K158" s="32"/>
      <c r="L158" s="97">
        <f t="shared" si="60"/>
        <v>0</v>
      </c>
      <c r="M158" s="97">
        <f t="shared" si="61"/>
        <v>0</v>
      </c>
      <c r="Q158" s="94" t="s">
        <v>25</v>
      </c>
      <c r="R158" s="94"/>
      <c r="S158" s="94" t="s">
        <v>25</v>
      </c>
      <c r="T158" s="94" t="s">
        <v>25</v>
      </c>
      <c r="U158" s="87"/>
      <c r="V158" s="87">
        <f>V157-U478</f>
        <v>0</v>
      </c>
      <c r="W158" s="140">
        <f>SUM(W152:W155)</f>
        <v>8086136885.999999</v>
      </c>
      <c r="X158" s="94"/>
      <c r="Y158" t="s">
        <v>25</v>
      </c>
      <c r="Z158" t="s">
        <v>25</v>
      </c>
      <c r="AH158" s="97">
        <v>138</v>
      </c>
      <c r="AI158" s="111" t="s">
        <v>4898</v>
      </c>
      <c r="AJ158" s="111">
        <v>100000</v>
      </c>
      <c r="AK158" s="97">
        <v>4</v>
      </c>
      <c r="AL158" s="20">
        <f>AL159+AK158</f>
        <v>600</v>
      </c>
      <c r="AM158" s="115">
        <f t="shared" si="59"/>
        <v>60000000</v>
      </c>
      <c r="AN158" s="20"/>
    </row>
    <row r="159" spans="5:44">
      <c r="G159" s="32" t="s">
        <v>5483</v>
      </c>
      <c r="H159" s="32"/>
      <c r="I159" s="210"/>
      <c r="J159" s="210"/>
      <c r="K159" s="32"/>
      <c r="L159" s="97">
        <f t="shared" si="60"/>
        <v>0</v>
      </c>
      <c r="M159" s="97">
        <f t="shared" si="61"/>
        <v>0</v>
      </c>
      <c r="N159" s="94"/>
      <c r="O159" s="94" t="s">
        <v>25</v>
      </c>
      <c r="P159" s="112"/>
      <c r="Q159" s="94"/>
      <c r="R159" s="94"/>
      <c r="S159" s="94"/>
      <c r="T159" s="94" t="s">
        <v>25</v>
      </c>
      <c r="U159" s="87"/>
      <c r="V159" s="87" t="s">
        <v>5891</v>
      </c>
      <c r="W159" s="140">
        <f>R170-W155</f>
        <v>88538104.2304703</v>
      </c>
      <c r="X159" s="94"/>
      <c r="Y159" t="s">
        <v>25</v>
      </c>
      <c r="Z159" t="s">
        <v>25</v>
      </c>
      <c r="AH159" s="97">
        <v>139</v>
      </c>
      <c r="AI159" s="111" t="s">
        <v>4903</v>
      </c>
      <c r="AJ159" s="111">
        <v>900000</v>
      </c>
      <c r="AK159" s="97">
        <v>0</v>
      </c>
      <c r="AL159" s="20">
        <f t="shared" ref="AL159:AL168" si="62">AL160+AK159</f>
        <v>596</v>
      </c>
      <c r="AM159" s="115">
        <f t="shared" ref="AM159:AM168" si="63">AJ159*AL159</f>
        <v>536400000</v>
      </c>
      <c r="AN159" s="20"/>
      <c r="AP159" t="s">
        <v>25</v>
      </c>
    </row>
    <row r="160" spans="5:44">
      <c r="G160" s="32" t="s">
        <v>5501</v>
      </c>
      <c r="H160" s="32">
        <v>3270584</v>
      </c>
      <c r="I160" s="210">
        <v>250916</v>
      </c>
      <c r="J160" s="210">
        <v>2496979</v>
      </c>
      <c r="K160" s="32">
        <v>203160</v>
      </c>
      <c r="L160" s="97">
        <f t="shared" si="60"/>
        <v>5767563</v>
      </c>
      <c r="M160" s="97">
        <f t="shared" si="61"/>
        <v>454076</v>
      </c>
      <c r="N160" s="94"/>
      <c r="O160" s="94"/>
      <c r="P160" s="112"/>
      <c r="Q160" s="94" t="s">
        <v>25</v>
      </c>
      <c r="R160" s="94"/>
      <c r="S160" s="94"/>
      <c r="T160" s="94" t="s">
        <v>25</v>
      </c>
      <c r="U160" s="87"/>
      <c r="V160" s="87" t="s">
        <v>5890</v>
      </c>
      <c r="W160" s="140">
        <f>W154-W159</f>
        <v>10043443.179850683</v>
      </c>
      <c r="X160" s="94"/>
      <c r="Z160" t="s">
        <v>25</v>
      </c>
      <c r="AH160" s="97">
        <v>140</v>
      </c>
      <c r="AI160" s="111" t="s">
        <v>4903</v>
      </c>
      <c r="AJ160" s="111">
        <v>1100000</v>
      </c>
      <c r="AK160" s="97">
        <v>0</v>
      </c>
      <c r="AL160" s="20">
        <f t="shared" si="62"/>
        <v>596</v>
      </c>
      <c r="AM160" s="115">
        <f t="shared" si="63"/>
        <v>655600000</v>
      </c>
      <c r="AN160" s="20" t="s">
        <v>4917</v>
      </c>
      <c r="AQ160" t="s">
        <v>25</v>
      </c>
    </row>
    <row r="161" spans="7:43">
      <c r="G161" s="32" t="s">
        <v>5502</v>
      </c>
      <c r="H161" s="32">
        <v>3225584</v>
      </c>
      <c r="I161" s="210">
        <v>260042</v>
      </c>
      <c r="J161" s="210">
        <v>2466124</v>
      </c>
      <c r="K161" s="32">
        <v>210439</v>
      </c>
      <c r="L161" s="97">
        <f t="shared" si="60"/>
        <v>5691708</v>
      </c>
      <c r="M161" s="97">
        <f t="shared" si="61"/>
        <v>470481</v>
      </c>
      <c r="N161" s="94"/>
      <c r="O161" s="94"/>
      <c r="P161" s="112"/>
      <c r="Q161" s="94" t="s">
        <v>25</v>
      </c>
      <c r="R161" s="94"/>
      <c r="S161" s="94"/>
      <c r="T161" s="94"/>
      <c r="U161" s="87"/>
      <c r="V161" s="87" t="s">
        <v>4941</v>
      </c>
      <c r="W161" s="140">
        <f>W152+W160-R169</f>
        <v>-4909152.2818226814</v>
      </c>
      <c r="X161" s="94"/>
      <c r="Y161" t="s">
        <v>25</v>
      </c>
      <c r="AH161" s="97">
        <v>141</v>
      </c>
      <c r="AI161" s="111" t="s">
        <v>4903</v>
      </c>
      <c r="AJ161" s="111">
        <v>115000</v>
      </c>
      <c r="AK161" s="97"/>
      <c r="AL161" s="20">
        <f t="shared" si="62"/>
        <v>596</v>
      </c>
      <c r="AM161" s="115">
        <f t="shared" si="63"/>
        <v>68540000</v>
      </c>
      <c r="AN161" s="20"/>
      <c r="AQ161" t="s">
        <v>25</v>
      </c>
    </row>
    <row r="162" spans="7:43">
      <c r="G162" s="32" t="s">
        <v>5503</v>
      </c>
      <c r="H162" s="32">
        <v>3271778</v>
      </c>
      <c r="I162" s="210">
        <v>282233</v>
      </c>
      <c r="J162" s="210">
        <v>2458563</v>
      </c>
      <c r="K162" s="32">
        <v>212082</v>
      </c>
      <c r="L162" s="97">
        <f t="shared" si="60"/>
        <v>5730341</v>
      </c>
      <c r="M162" s="97">
        <f t="shared" si="61"/>
        <v>494315</v>
      </c>
      <c r="N162" s="94"/>
      <c r="O162" s="94"/>
      <c r="P162" s="112"/>
      <c r="Q162" s="94"/>
      <c r="R162" s="94"/>
      <c r="S162" s="94"/>
      <c r="T162" s="94"/>
      <c r="U162" s="87"/>
      <c r="V162" s="87"/>
      <c r="W162" s="140"/>
      <c r="X162" s="113"/>
      <c r="Y162" t="s">
        <v>25</v>
      </c>
      <c r="AH162" s="97">
        <v>142</v>
      </c>
      <c r="AI162" s="111" t="s">
        <v>4911</v>
      </c>
      <c r="AJ162" s="111">
        <v>-1100000</v>
      </c>
      <c r="AK162" s="97"/>
      <c r="AL162" s="20">
        <f t="shared" si="62"/>
        <v>596</v>
      </c>
      <c r="AM162" s="115">
        <f t="shared" si="63"/>
        <v>-655600000</v>
      </c>
      <c r="AN162" s="20" t="s">
        <v>4918</v>
      </c>
      <c r="AQ162" t="s">
        <v>25</v>
      </c>
    </row>
    <row r="163" spans="7:43">
      <c r="G163" s="32" t="s">
        <v>5510</v>
      </c>
      <c r="H163" s="32">
        <v>3298939</v>
      </c>
      <c r="I163" s="210">
        <v>281309</v>
      </c>
      <c r="J163" s="210">
        <v>2465538</v>
      </c>
      <c r="K163" s="32">
        <v>210242</v>
      </c>
      <c r="L163" s="97">
        <f t="shared" si="60"/>
        <v>5764477</v>
      </c>
      <c r="M163" s="97">
        <f t="shared" si="61"/>
        <v>491551</v>
      </c>
      <c r="N163" s="94"/>
      <c r="O163" s="94"/>
      <c r="P163" s="112"/>
      <c r="Q163" s="94"/>
      <c r="R163" s="94"/>
      <c r="S163" s="94"/>
      <c r="T163" s="94"/>
      <c r="V163" s="94"/>
      <c r="Y163" t="s">
        <v>25</v>
      </c>
      <c r="AH163" s="97">
        <v>143</v>
      </c>
      <c r="AI163" s="111" t="s">
        <v>4911</v>
      </c>
      <c r="AJ163" s="111">
        <v>900000</v>
      </c>
      <c r="AK163" s="97">
        <v>1</v>
      </c>
      <c r="AL163" s="20">
        <f t="shared" si="62"/>
        <v>596</v>
      </c>
      <c r="AM163" s="115">
        <f t="shared" si="63"/>
        <v>536400000</v>
      </c>
      <c r="AN163" s="20" t="s">
        <v>4917</v>
      </c>
    </row>
    <row r="164" spans="7:43">
      <c r="G164" s="32" t="s">
        <v>5514</v>
      </c>
      <c r="H164" s="32">
        <v>3453903</v>
      </c>
      <c r="I164" s="210">
        <v>259725</v>
      </c>
      <c r="J164" s="210">
        <v>2541096</v>
      </c>
      <c r="K164" s="32">
        <v>191084</v>
      </c>
      <c r="L164" s="97">
        <f t="shared" si="60"/>
        <v>5994999</v>
      </c>
      <c r="M164" s="97">
        <f t="shared" si="61"/>
        <v>450809</v>
      </c>
      <c r="N164" s="94"/>
      <c r="O164" s="94"/>
      <c r="P164" s="112"/>
      <c r="Q164" s="94"/>
      <c r="R164" s="94"/>
      <c r="S164" s="94"/>
      <c r="T164" s="94" t="s">
        <v>25</v>
      </c>
      <c r="V164" s="94"/>
      <c r="AH164" s="97">
        <v>144</v>
      </c>
      <c r="AI164" s="111" t="s">
        <v>4915</v>
      </c>
      <c r="AJ164" s="111">
        <v>2000000</v>
      </c>
      <c r="AK164" s="97">
        <v>0</v>
      </c>
      <c r="AL164" s="20">
        <f t="shared" si="62"/>
        <v>595</v>
      </c>
      <c r="AM164" s="115">
        <f t="shared" si="63"/>
        <v>1190000000</v>
      </c>
      <c r="AN164" s="20"/>
    </row>
    <row r="165" spans="7:43">
      <c r="G165" s="32"/>
      <c r="H165" s="32"/>
      <c r="I165" s="210"/>
      <c r="J165" s="210"/>
      <c r="K165" s="32"/>
      <c r="L165" s="97"/>
      <c r="M165" s="97"/>
      <c r="N165" s="94"/>
      <c r="O165" s="94"/>
      <c r="P165" s="112"/>
      <c r="S165" s="94"/>
      <c r="T165" s="94"/>
      <c r="V165" s="94"/>
      <c r="AH165" s="97">
        <v>145</v>
      </c>
      <c r="AI165" s="111" t="s">
        <v>4915</v>
      </c>
      <c r="AJ165" s="111">
        <v>360000</v>
      </c>
      <c r="AK165" s="97">
        <v>1</v>
      </c>
      <c r="AL165" s="20">
        <f t="shared" si="62"/>
        <v>595</v>
      </c>
      <c r="AM165" s="115">
        <f t="shared" si="63"/>
        <v>214200000</v>
      </c>
      <c r="AN165" s="20"/>
    </row>
    <row r="166" spans="7:43">
      <c r="G166" s="32"/>
      <c r="H166" s="32"/>
      <c r="I166" s="210"/>
      <c r="J166" s="210"/>
      <c r="K166" s="32"/>
      <c r="L166" s="97"/>
      <c r="M166" s="97"/>
      <c r="P166" s="112"/>
      <c r="Q166" s="94"/>
      <c r="R166" s="94"/>
      <c r="S166" s="94"/>
      <c r="T166" s="97" t="s">
        <v>180</v>
      </c>
      <c r="U166" s="97" t="s">
        <v>4436</v>
      </c>
      <c r="V166" s="97" t="s">
        <v>4437</v>
      </c>
      <c r="W166" s="97" t="s">
        <v>4447</v>
      </c>
      <c r="X166" s="97" t="s">
        <v>8</v>
      </c>
      <c r="Y166" t="s">
        <v>25</v>
      </c>
      <c r="AH166" s="97">
        <v>146</v>
      </c>
      <c r="AI166" s="111" t="s">
        <v>4916</v>
      </c>
      <c r="AJ166" s="111">
        <v>3000000</v>
      </c>
      <c r="AK166" s="97">
        <v>1</v>
      </c>
      <c r="AL166" s="20">
        <f t="shared" si="62"/>
        <v>594</v>
      </c>
      <c r="AM166" s="115">
        <f t="shared" si="63"/>
        <v>1782000000</v>
      </c>
      <c r="AN166" s="20"/>
    </row>
    <row r="167" spans="7:43">
      <c r="G167" s="32"/>
      <c r="H167" s="32"/>
      <c r="I167" s="210"/>
      <c r="J167" s="210"/>
      <c r="K167" s="32"/>
      <c r="L167" s="97">
        <f>H167+J167</f>
        <v>0</v>
      </c>
      <c r="M167" s="97">
        <f>I167+K167</f>
        <v>0</v>
      </c>
      <c r="P167" s="112"/>
      <c r="Q167" s="94"/>
      <c r="R167" s="94"/>
      <c r="S167" s="94"/>
      <c r="T167" s="111" t="s">
        <v>4420</v>
      </c>
      <c r="U167" s="54">
        <v>1000000</v>
      </c>
      <c r="V167" s="111">
        <v>239.024</v>
      </c>
      <c r="W167" s="111">
        <f t="shared" ref="W167:W268" si="64">U167*V167</f>
        <v>239024000</v>
      </c>
      <c r="X167" s="97"/>
      <c r="AH167" s="97">
        <v>147</v>
      </c>
      <c r="AI167" s="111" t="s">
        <v>4914</v>
      </c>
      <c r="AJ167" s="111">
        <v>-658226</v>
      </c>
      <c r="AK167" s="97">
        <v>1</v>
      </c>
      <c r="AL167" s="20">
        <f t="shared" si="62"/>
        <v>593</v>
      </c>
      <c r="AM167" s="115">
        <f t="shared" si="63"/>
        <v>-390328018</v>
      </c>
      <c r="AN167" s="20"/>
    </row>
    <row r="168" spans="7:43">
      <c r="N168" s="112"/>
      <c r="O168" s="112"/>
      <c r="P168" s="112"/>
      <c r="Q168" s="36" t="s">
        <v>4518</v>
      </c>
      <c r="R168" s="93">
        <f>SUM(N43:N53)</f>
        <v>4908806687</v>
      </c>
      <c r="T168" s="166" t="s">
        <v>4402</v>
      </c>
      <c r="U168" s="54">
        <v>5904</v>
      </c>
      <c r="V168" s="111">
        <v>237.148</v>
      </c>
      <c r="W168" s="111">
        <f t="shared" si="64"/>
        <v>1400121.7919999999</v>
      </c>
      <c r="X168" s="97" t="s">
        <v>744</v>
      </c>
      <c r="Z168" t="s">
        <v>25</v>
      </c>
      <c r="AH168" s="97">
        <v>148</v>
      </c>
      <c r="AI168" s="111" t="s">
        <v>4919</v>
      </c>
      <c r="AJ168" s="111">
        <v>1000000</v>
      </c>
      <c r="AK168" s="97">
        <v>15</v>
      </c>
      <c r="AL168" s="20">
        <f t="shared" si="62"/>
        <v>592</v>
      </c>
      <c r="AM168" s="115">
        <f t="shared" si="63"/>
        <v>592000000</v>
      </c>
      <c r="AN168" s="20"/>
      <c r="AP168" t="s">
        <v>25</v>
      </c>
    </row>
    <row r="169" spans="7:43">
      <c r="O169" s="112"/>
      <c r="P169" s="112"/>
      <c r="Q169" s="97" t="s">
        <v>4411</v>
      </c>
      <c r="R169" s="93">
        <f>SUM(N21:N25)</f>
        <v>2816490550</v>
      </c>
      <c r="T169" s="166" t="s">
        <v>4208</v>
      </c>
      <c r="U169" s="166">
        <v>1000</v>
      </c>
      <c r="V169" s="111">
        <v>247.393</v>
      </c>
      <c r="W169" s="111">
        <f t="shared" si="64"/>
        <v>247393</v>
      </c>
      <c r="X169" s="97" t="s">
        <v>744</v>
      </c>
      <c r="Y169" t="s">
        <v>25</v>
      </c>
      <c r="AH169" s="97">
        <v>149</v>
      </c>
      <c r="AI169" s="111" t="s">
        <v>4946</v>
      </c>
      <c r="AJ169" s="111">
        <v>1130250</v>
      </c>
      <c r="AK169" s="97">
        <v>5</v>
      </c>
      <c r="AL169" s="20">
        <f t="shared" si="58"/>
        <v>577</v>
      </c>
      <c r="AM169" s="115">
        <f t="shared" si="59"/>
        <v>652154250</v>
      </c>
      <c r="AN169" s="20"/>
    </row>
    <row r="170" spans="7:43">
      <c r="G170" s="97" t="s">
        <v>5467</v>
      </c>
      <c r="H170" s="97"/>
      <c r="I170" s="97"/>
      <c r="K170" t="s">
        <v>25</v>
      </c>
      <c r="M170" t="s">
        <v>25</v>
      </c>
      <c r="N170" s="112"/>
      <c r="O170" s="112"/>
      <c r="P170" s="112"/>
      <c r="Q170" s="97" t="s">
        <v>4412</v>
      </c>
      <c r="R170" s="93">
        <f>SUM(N28:N30)</f>
        <v>360729310</v>
      </c>
      <c r="T170" s="166" t="s">
        <v>4448</v>
      </c>
      <c r="U170" s="166">
        <v>8071</v>
      </c>
      <c r="V170" s="111">
        <v>247.797</v>
      </c>
      <c r="W170" s="111">
        <f t="shared" si="64"/>
        <v>1999969.5870000001</v>
      </c>
      <c r="X170" s="97" t="s">
        <v>4409</v>
      </c>
      <c r="Y170" t="s">
        <v>25</v>
      </c>
      <c r="AE170" s="94" t="s">
        <v>25</v>
      </c>
      <c r="AH170" s="97">
        <v>150</v>
      </c>
      <c r="AI170" s="111" t="s">
        <v>4954</v>
      </c>
      <c r="AJ170" s="111">
        <v>206000</v>
      </c>
      <c r="AK170" s="97">
        <v>2</v>
      </c>
      <c r="AL170" s="20">
        <f t="shared" si="58"/>
        <v>572</v>
      </c>
      <c r="AM170" s="115">
        <f t="shared" si="59"/>
        <v>117832000</v>
      </c>
      <c r="AN170" s="20"/>
    </row>
    <row r="171" spans="7:43">
      <c r="G171" s="97" t="s">
        <v>452</v>
      </c>
      <c r="H171" s="97">
        <v>199</v>
      </c>
      <c r="I171" s="97" t="s">
        <v>5468</v>
      </c>
      <c r="P171" s="112"/>
      <c r="Q171" s="97" t="s">
        <v>4413</v>
      </c>
      <c r="R171" s="93">
        <f>N41</f>
        <v>16478</v>
      </c>
      <c r="T171" s="166" t="s">
        <v>4448</v>
      </c>
      <c r="U171" s="166">
        <v>53672</v>
      </c>
      <c r="V171" s="111">
        <v>247.797</v>
      </c>
      <c r="W171" s="111">
        <f t="shared" si="64"/>
        <v>13299760.584000001</v>
      </c>
      <c r="X171" s="97" t="s">
        <v>452</v>
      </c>
      <c r="Y171" t="s">
        <v>25</v>
      </c>
      <c r="AA171" t="s">
        <v>25</v>
      </c>
      <c r="AH171" s="97">
        <v>151</v>
      </c>
      <c r="AI171" s="111" t="s">
        <v>4961</v>
      </c>
      <c r="AJ171" s="111">
        <v>50000</v>
      </c>
      <c r="AK171" s="97">
        <v>2</v>
      </c>
      <c r="AL171" s="20">
        <f t="shared" si="58"/>
        <v>570</v>
      </c>
      <c r="AM171" s="115">
        <f t="shared" si="59"/>
        <v>28500000</v>
      </c>
      <c r="AN171" s="20"/>
    </row>
    <row r="172" spans="7:43">
      <c r="G172" s="97" t="s">
        <v>744</v>
      </c>
      <c r="H172" s="97">
        <v>200</v>
      </c>
      <c r="I172" s="97" t="s">
        <v>5469</v>
      </c>
      <c r="M172" t="s">
        <v>25</v>
      </c>
      <c r="O172" s="112"/>
      <c r="P172" s="112"/>
      <c r="Q172" s="97" t="s">
        <v>4414</v>
      </c>
      <c r="R172" s="93">
        <f>N20</f>
        <v>30076489</v>
      </c>
      <c r="T172" s="166" t="s">
        <v>4456</v>
      </c>
      <c r="U172" s="166">
        <v>4099</v>
      </c>
      <c r="V172" s="111">
        <v>243.93</v>
      </c>
      <c r="W172" s="111">
        <f t="shared" si="64"/>
        <v>999869.07000000007</v>
      </c>
      <c r="X172" s="97" t="s">
        <v>4409</v>
      </c>
      <c r="AH172" s="97">
        <v>152</v>
      </c>
      <c r="AI172" s="111" t="s">
        <v>4965</v>
      </c>
      <c r="AJ172" s="111">
        <v>105000</v>
      </c>
      <c r="AK172" s="97">
        <v>4</v>
      </c>
      <c r="AL172" s="20">
        <f t="shared" si="58"/>
        <v>568</v>
      </c>
      <c r="AM172" s="115">
        <f t="shared" si="59"/>
        <v>59640000</v>
      </c>
      <c r="AN172" s="20"/>
    </row>
    <row r="173" spans="7:43">
      <c r="G173" s="97" t="s">
        <v>5442</v>
      </c>
      <c r="H173" s="97">
        <v>200</v>
      </c>
      <c r="I173" s="97" t="s">
        <v>5507</v>
      </c>
      <c r="O173" s="112"/>
      <c r="P173" s="112">
        <f>R176+16916</f>
        <v>33233</v>
      </c>
      <c r="Q173" s="97" t="s">
        <v>4415</v>
      </c>
      <c r="R173" s="93">
        <f>N27</f>
        <v>1055</v>
      </c>
      <c r="T173" s="166" t="s">
        <v>4456</v>
      </c>
      <c r="U173" s="166">
        <v>9301</v>
      </c>
      <c r="V173" s="111">
        <v>243.93</v>
      </c>
      <c r="W173" s="111">
        <f t="shared" si="64"/>
        <v>2268792.9300000002</v>
      </c>
      <c r="X173" s="97" t="s">
        <v>452</v>
      </c>
      <c r="Z173" t="s">
        <v>25</v>
      </c>
      <c r="AH173" s="97">
        <v>153</v>
      </c>
      <c r="AI173" s="111" t="s">
        <v>4969</v>
      </c>
      <c r="AJ173" s="111">
        <v>5000000</v>
      </c>
      <c r="AK173" s="97">
        <v>1</v>
      </c>
      <c r="AL173" s="20">
        <f t="shared" si="58"/>
        <v>564</v>
      </c>
      <c r="AM173" s="115">
        <f t="shared" si="59"/>
        <v>2820000000</v>
      </c>
      <c r="AN173" s="20"/>
    </row>
    <row r="174" spans="7:43">
      <c r="G174" s="97" t="s">
        <v>1071</v>
      </c>
      <c r="H174" s="97">
        <v>200</v>
      </c>
      <c r="I174" s="97" t="s">
        <v>5470</v>
      </c>
      <c r="P174" s="112"/>
      <c r="Q174" s="97"/>
      <c r="R174" s="93"/>
      <c r="S174" t="s">
        <v>25</v>
      </c>
      <c r="T174" s="166" t="s">
        <v>4460</v>
      </c>
      <c r="U174" s="166">
        <v>8334</v>
      </c>
      <c r="V174" s="111">
        <v>239.97</v>
      </c>
      <c r="W174" s="111">
        <f t="shared" si="64"/>
        <v>1999909.98</v>
      </c>
      <c r="X174" s="97" t="s">
        <v>4409</v>
      </c>
      <c r="AH174" s="97">
        <v>154</v>
      </c>
      <c r="AI174" s="111" t="s">
        <v>4970</v>
      </c>
      <c r="AJ174" s="111">
        <v>2500000</v>
      </c>
      <c r="AK174" s="97">
        <v>2</v>
      </c>
      <c r="AL174" s="20">
        <f t="shared" si="58"/>
        <v>563</v>
      </c>
      <c r="AM174" s="115">
        <f t="shared" si="59"/>
        <v>1407500000</v>
      </c>
      <c r="AN174" s="20"/>
    </row>
    <row r="175" spans="7:43">
      <c r="G175" s="97"/>
      <c r="H175" s="97"/>
      <c r="I175" s="97"/>
      <c r="P175" s="112"/>
      <c r="Q175" s="97" t="s">
        <v>5072</v>
      </c>
      <c r="R175" s="93">
        <v>0</v>
      </c>
      <c r="T175" s="166" t="s">
        <v>4207</v>
      </c>
      <c r="U175" s="166">
        <v>29041</v>
      </c>
      <c r="V175" s="111">
        <v>233.45</v>
      </c>
      <c r="W175" s="111">
        <f t="shared" si="64"/>
        <v>6779621.4499999993</v>
      </c>
      <c r="X175" s="97" t="s">
        <v>744</v>
      </c>
      <c r="Y175" s="120" t="s">
        <v>25</v>
      </c>
      <c r="AH175" s="260">
        <v>155</v>
      </c>
      <c r="AI175" s="256" t="s">
        <v>4976</v>
      </c>
      <c r="AJ175" s="256">
        <v>-50000000</v>
      </c>
      <c r="AK175" s="260">
        <v>7</v>
      </c>
      <c r="AL175" s="260">
        <f t="shared" si="58"/>
        <v>561</v>
      </c>
      <c r="AM175" s="256">
        <f t="shared" si="59"/>
        <v>-28050000000</v>
      </c>
      <c r="AN175" s="260" t="s">
        <v>4984</v>
      </c>
    </row>
    <row r="176" spans="7:43">
      <c r="G176" s="97"/>
      <c r="H176" s="97"/>
      <c r="I176" s="97"/>
      <c r="P176" s="112"/>
      <c r="Q176" s="97" t="s">
        <v>5771</v>
      </c>
      <c r="R176" s="93">
        <v>16317</v>
      </c>
      <c r="S176" s="94"/>
      <c r="T176" s="166" t="s">
        <v>979</v>
      </c>
      <c r="U176" s="166">
        <v>12337</v>
      </c>
      <c r="V176" s="111">
        <v>243.16300000000001</v>
      </c>
      <c r="W176" s="111">
        <f t="shared" si="64"/>
        <v>2999901.9310000003</v>
      </c>
      <c r="X176" s="97" t="s">
        <v>4409</v>
      </c>
      <c r="AH176" s="97">
        <v>156</v>
      </c>
      <c r="AI176" s="111" t="s">
        <v>4982</v>
      </c>
      <c r="AJ176" s="111">
        <v>10000000</v>
      </c>
      <c r="AK176" s="97">
        <v>12</v>
      </c>
      <c r="AL176" s="20">
        <f t="shared" si="58"/>
        <v>554</v>
      </c>
      <c r="AM176" s="115">
        <f t="shared" si="59"/>
        <v>5540000000</v>
      </c>
      <c r="AN176" s="20" t="s">
        <v>4686</v>
      </c>
    </row>
    <row r="177" spans="5:43">
      <c r="G177" s="97"/>
      <c r="H177" s="97"/>
      <c r="I177" s="97"/>
      <c r="K177" t="s">
        <v>25</v>
      </c>
      <c r="M177" t="s">
        <v>25</v>
      </c>
      <c r="P177" s="112"/>
      <c r="Q177" s="97" t="s">
        <v>6511</v>
      </c>
      <c r="R177" s="93">
        <v>-30000000</v>
      </c>
      <c r="S177" s="94"/>
      <c r="T177" s="166" t="s">
        <v>4536</v>
      </c>
      <c r="U177" s="166">
        <v>-16118</v>
      </c>
      <c r="V177" s="111">
        <v>248.17</v>
      </c>
      <c r="W177" s="111">
        <f t="shared" si="64"/>
        <v>-4000004.0599999996</v>
      </c>
      <c r="X177" s="97" t="s">
        <v>744</v>
      </c>
      <c r="Y177" t="s">
        <v>25</v>
      </c>
      <c r="AH177" s="97">
        <v>157</v>
      </c>
      <c r="AI177" s="111" t="s">
        <v>4989</v>
      </c>
      <c r="AJ177" s="111">
        <v>-16266000</v>
      </c>
      <c r="AK177" s="97">
        <v>1</v>
      </c>
      <c r="AL177" s="20">
        <f t="shared" si="58"/>
        <v>542</v>
      </c>
      <c r="AM177" s="115">
        <f t="shared" si="59"/>
        <v>-8816172000</v>
      </c>
      <c r="AN177" s="20" t="s">
        <v>4997</v>
      </c>
      <c r="AQ177" t="s">
        <v>25</v>
      </c>
    </row>
    <row r="178" spans="5:43">
      <c r="G178" s="97"/>
      <c r="H178" s="97"/>
      <c r="I178" s="97"/>
      <c r="P178" s="112"/>
      <c r="Q178" s="97"/>
      <c r="R178" s="93"/>
      <c r="T178" s="166" t="s">
        <v>4558</v>
      </c>
      <c r="U178" s="166">
        <v>101681</v>
      </c>
      <c r="V178" s="111">
        <v>246.5711</v>
      </c>
      <c r="W178" s="111">
        <f t="shared" si="64"/>
        <v>25071596.019099999</v>
      </c>
      <c r="X178" s="97" t="s">
        <v>452</v>
      </c>
      <c r="AH178" s="97">
        <v>158</v>
      </c>
      <c r="AI178" s="111" t="s">
        <v>4998</v>
      </c>
      <c r="AJ178" s="111">
        <v>1000000</v>
      </c>
      <c r="AK178" s="97">
        <v>6</v>
      </c>
      <c r="AL178" s="20">
        <f>AL179+AK178</f>
        <v>541</v>
      </c>
      <c r="AM178" s="115">
        <f>AJ178*AL178</f>
        <v>541000000</v>
      </c>
      <c r="AN178" s="20"/>
    </row>
    <row r="179" spans="5:43">
      <c r="P179" s="112"/>
      <c r="Q179" s="97"/>
      <c r="R179" s="93"/>
      <c r="S179" s="94"/>
      <c r="T179" s="166" t="s">
        <v>4562</v>
      </c>
      <c r="U179" s="166">
        <v>66606</v>
      </c>
      <c r="V179" s="111">
        <v>251.131</v>
      </c>
      <c r="W179" s="111">
        <f t="shared" si="64"/>
        <v>16726831.386</v>
      </c>
      <c r="X179" s="97" t="s">
        <v>744</v>
      </c>
      <c r="AH179" s="97">
        <v>159</v>
      </c>
      <c r="AI179" s="111" t="s">
        <v>5006</v>
      </c>
      <c r="AJ179" s="111">
        <v>40000</v>
      </c>
      <c r="AK179" s="97">
        <v>5</v>
      </c>
      <c r="AL179" s="20">
        <f>AL180+AK179</f>
        <v>535</v>
      </c>
      <c r="AM179" s="115">
        <f>AJ179*AL179</f>
        <v>21400000</v>
      </c>
      <c r="AN179" s="20"/>
    </row>
    <row r="180" spans="5:43">
      <c r="G180" s="210" t="s">
        <v>180</v>
      </c>
      <c r="H180" s="210" t="s">
        <v>5493</v>
      </c>
      <c r="I180" t="s">
        <v>5486</v>
      </c>
      <c r="P180" s="112"/>
      <c r="Q180" s="97"/>
      <c r="R180" s="93"/>
      <c r="S180" s="113" t="s">
        <v>25</v>
      </c>
      <c r="T180" s="166" t="s">
        <v>4567</v>
      </c>
      <c r="U180" s="166">
        <v>172025</v>
      </c>
      <c r="V180" s="111">
        <v>245.52809999999999</v>
      </c>
      <c r="W180" s="111">
        <f t="shared" si="64"/>
        <v>42236971.402499996</v>
      </c>
      <c r="X180" s="97" t="s">
        <v>452</v>
      </c>
      <c r="AH180" s="97">
        <v>160</v>
      </c>
      <c r="AI180" s="111" t="s">
        <v>5014</v>
      </c>
      <c r="AJ180" s="111">
        <v>120000</v>
      </c>
      <c r="AK180" s="97">
        <v>6</v>
      </c>
      <c r="AL180" s="20">
        <f>AL181+AK180</f>
        <v>530</v>
      </c>
      <c r="AM180" s="115">
        <f>AJ180*AL180</f>
        <v>63600000</v>
      </c>
      <c r="AN180" s="20"/>
    </row>
    <row r="181" spans="5:43">
      <c r="G181" s="210" t="s">
        <v>5456</v>
      </c>
      <c r="H181" s="1">
        <v>30000000</v>
      </c>
      <c r="I181" s="339" t="s">
        <v>5487</v>
      </c>
      <c r="P181" s="112"/>
      <c r="Q181" s="97" t="s">
        <v>5073</v>
      </c>
      <c r="R181" s="93">
        <v>0</v>
      </c>
      <c r="S181" s="120" t="s">
        <v>25</v>
      </c>
      <c r="T181" s="166" t="s">
        <v>4567</v>
      </c>
      <c r="U181" s="166">
        <v>189227</v>
      </c>
      <c r="V181" s="111">
        <v>245.52809999999999</v>
      </c>
      <c r="W181" s="111">
        <f t="shared" si="64"/>
        <v>46460545.778700002</v>
      </c>
      <c r="X181" s="97" t="s">
        <v>744</v>
      </c>
      <c r="AH181" s="97">
        <v>161</v>
      </c>
      <c r="AI181" s="111" t="s">
        <v>5011</v>
      </c>
      <c r="AJ181" s="111">
        <v>249000</v>
      </c>
      <c r="AK181" s="97">
        <v>9</v>
      </c>
      <c r="AL181" s="20">
        <f>AL182+AK181</f>
        <v>524</v>
      </c>
      <c r="AM181" s="115">
        <f>AJ181*AL181</f>
        <v>130476000</v>
      </c>
      <c r="AN181" s="20"/>
    </row>
    <row r="182" spans="5:43">
      <c r="E182" t="s">
        <v>25</v>
      </c>
      <c r="G182" s="210" t="s">
        <v>5457</v>
      </c>
      <c r="H182" s="1">
        <v>550000</v>
      </c>
      <c r="I182" t="s">
        <v>5488</v>
      </c>
      <c r="P182" s="112"/>
      <c r="Q182" s="97"/>
      <c r="R182" s="93"/>
      <c r="S182" s="113"/>
      <c r="T182" s="166" t="s">
        <v>4568</v>
      </c>
      <c r="U182" s="166">
        <v>79720</v>
      </c>
      <c r="V182" s="111">
        <v>246.6568</v>
      </c>
      <c r="W182" s="111">
        <f t="shared" si="64"/>
        <v>19663480.096000001</v>
      </c>
      <c r="X182" s="97" t="s">
        <v>452</v>
      </c>
      <c r="Y182" s="8" t="s">
        <v>25</v>
      </c>
      <c r="Z182" t="s">
        <v>25</v>
      </c>
      <c r="AH182" s="97">
        <v>162</v>
      </c>
      <c r="AI182" s="111" t="s">
        <v>5036</v>
      </c>
      <c r="AJ182" s="111">
        <v>65000</v>
      </c>
      <c r="AK182" s="97">
        <v>7</v>
      </c>
      <c r="AL182" s="20">
        <f>AL183+AK182</f>
        <v>515</v>
      </c>
      <c r="AM182" s="115">
        <f>AJ182*AL182</f>
        <v>33475000</v>
      </c>
      <c r="AN182" s="20"/>
    </row>
    <row r="183" spans="5:43">
      <c r="G183" s="210" t="s">
        <v>5458</v>
      </c>
      <c r="H183" s="1">
        <v>70370000</v>
      </c>
      <c r="I183" t="s">
        <v>4084</v>
      </c>
      <c r="P183" s="112"/>
      <c r="Q183" s="97"/>
      <c r="R183" s="93"/>
      <c r="S183" s="113"/>
      <c r="T183" s="166" t="s">
        <v>4568</v>
      </c>
      <c r="U183" s="166">
        <v>79720</v>
      </c>
      <c r="V183" s="111">
        <v>246.6568</v>
      </c>
      <c r="W183" s="111">
        <f t="shared" si="64"/>
        <v>19663480.096000001</v>
      </c>
      <c r="X183" s="97" t="s">
        <v>744</v>
      </c>
      <c r="AH183" s="97">
        <v>163</v>
      </c>
      <c r="AI183" s="111" t="s">
        <v>5045</v>
      </c>
      <c r="AJ183" s="111">
        <v>-312598</v>
      </c>
      <c r="AK183" s="97">
        <v>0</v>
      </c>
      <c r="AL183" s="20">
        <f t="shared" ref="AL183:AL190" si="65">AL184+AK183</f>
        <v>508</v>
      </c>
      <c r="AM183" s="115">
        <f t="shared" ref="AM183:AM190" si="66">AJ183*AL183</f>
        <v>-158799784</v>
      </c>
      <c r="AN183" s="20"/>
      <c r="AO183" t="s">
        <v>25</v>
      </c>
      <c r="AQ183" t="s">
        <v>25</v>
      </c>
    </row>
    <row r="184" spans="5:43">
      <c r="G184" s="210" t="s">
        <v>5459</v>
      </c>
      <c r="H184" s="1">
        <v>1215000</v>
      </c>
      <c r="I184" t="s">
        <v>5489</v>
      </c>
      <c r="P184" s="112"/>
      <c r="Q184" s="97" t="s">
        <v>4419</v>
      </c>
      <c r="R184" s="93">
        <f>SUM(R168:R183)</f>
        <v>8086136886</v>
      </c>
      <c r="T184" s="166" t="s">
        <v>4591</v>
      </c>
      <c r="U184" s="166">
        <v>17769</v>
      </c>
      <c r="V184" s="111">
        <v>246.17877999999999</v>
      </c>
      <c r="W184" s="111">
        <f t="shared" si="64"/>
        <v>4374350.7418200001</v>
      </c>
      <c r="X184" s="97" t="s">
        <v>744</v>
      </c>
      <c r="AH184" s="97">
        <v>164</v>
      </c>
      <c r="AI184" s="111" t="s">
        <v>5045</v>
      </c>
      <c r="AJ184" s="111">
        <v>50000</v>
      </c>
      <c r="AK184" s="97">
        <v>6</v>
      </c>
      <c r="AL184" s="20">
        <f t="shared" si="65"/>
        <v>508</v>
      </c>
      <c r="AM184" s="115">
        <f t="shared" si="66"/>
        <v>25400000</v>
      </c>
      <c r="AN184" s="20"/>
    </row>
    <row r="185" spans="5:43">
      <c r="G185" s="210" t="s">
        <v>5460</v>
      </c>
      <c r="H185" s="1">
        <v>15350000</v>
      </c>
      <c r="I185" s="339" t="s">
        <v>5490</v>
      </c>
      <c r="O185" s="94"/>
      <c r="P185" s="112"/>
      <c r="Q185" s="94"/>
      <c r="T185" s="166" t="s">
        <v>4591</v>
      </c>
      <c r="U185" s="166">
        <v>17769</v>
      </c>
      <c r="V185" s="111">
        <v>246.17877999999999</v>
      </c>
      <c r="W185" s="111">
        <f t="shared" si="64"/>
        <v>4374350.7418200001</v>
      </c>
      <c r="X185" s="97" t="s">
        <v>452</v>
      </c>
      <c r="AH185" s="97">
        <v>165</v>
      </c>
      <c r="AI185" s="111" t="s">
        <v>5055</v>
      </c>
      <c r="AJ185" s="111">
        <v>-200000</v>
      </c>
      <c r="AK185" s="97">
        <v>0</v>
      </c>
      <c r="AL185" s="20">
        <f t="shared" si="65"/>
        <v>502</v>
      </c>
      <c r="AM185" s="115">
        <f t="shared" si="66"/>
        <v>-100400000</v>
      </c>
      <c r="AN185" s="20" t="s">
        <v>5056</v>
      </c>
    </row>
    <row r="186" spans="5:43">
      <c r="G186" s="210" t="s">
        <v>5461</v>
      </c>
      <c r="H186" s="1">
        <v>70000</v>
      </c>
      <c r="I186" t="s">
        <v>5491</v>
      </c>
      <c r="O186" t="s">
        <v>25</v>
      </c>
      <c r="P186" s="112"/>
      <c r="T186" s="166" t="s">
        <v>4593</v>
      </c>
      <c r="U186" s="166">
        <v>12438</v>
      </c>
      <c r="V186" s="111">
        <v>241.20465999999999</v>
      </c>
      <c r="W186" s="111">
        <f t="shared" si="64"/>
        <v>3000103.5610799999</v>
      </c>
      <c r="X186" s="97" t="s">
        <v>4409</v>
      </c>
      <c r="AB186" t="s">
        <v>25</v>
      </c>
      <c r="AH186" s="97">
        <v>166</v>
      </c>
      <c r="AI186" s="111" t="s">
        <v>5055</v>
      </c>
      <c r="AJ186" s="111">
        <v>200000</v>
      </c>
      <c r="AK186" s="97">
        <v>3</v>
      </c>
      <c r="AL186" s="20">
        <f t="shared" si="65"/>
        <v>502</v>
      </c>
      <c r="AM186" s="115">
        <f t="shared" si="66"/>
        <v>100400000</v>
      </c>
      <c r="AN186" s="20"/>
      <c r="AQ186" t="s">
        <v>25</v>
      </c>
    </row>
    <row r="187" spans="5:43">
      <c r="G187" s="210" t="s">
        <v>5465</v>
      </c>
      <c r="H187" s="1">
        <v>800000</v>
      </c>
      <c r="I187" t="s">
        <v>5492</v>
      </c>
      <c r="P187" s="112"/>
      <c r="Q187" s="210" t="s">
        <v>8</v>
      </c>
      <c r="R187" s="210" t="s">
        <v>4409</v>
      </c>
      <c r="S187" s="210"/>
      <c r="T187" s="166" t="s">
        <v>4602</v>
      </c>
      <c r="U187" s="166">
        <v>27363</v>
      </c>
      <c r="V187" s="111">
        <v>239.3886</v>
      </c>
      <c r="W187" s="111">
        <f t="shared" si="64"/>
        <v>6550390.2617999995</v>
      </c>
      <c r="X187" s="97" t="s">
        <v>744</v>
      </c>
      <c r="AH187" s="97">
        <v>167</v>
      </c>
      <c r="AI187" s="111" t="s">
        <v>5062</v>
      </c>
      <c r="AJ187" s="111">
        <v>200000</v>
      </c>
      <c r="AK187" s="97">
        <v>3</v>
      </c>
      <c r="AL187" s="20">
        <f t="shared" si="65"/>
        <v>499</v>
      </c>
      <c r="AM187" s="115">
        <f t="shared" si="66"/>
        <v>99800000</v>
      </c>
      <c r="AN187" s="20"/>
    </row>
    <row r="188" spans="5:43">
      <c r="G188" s="210" t="s">
        <v>5481</v>
      </c>
      <c r="H188" s="1">
        <v>1948000</v>
      </c>
      <c r="O188" t="s">
        <v>25</v>
      </c>
      <c r="P188" s="112"/>
      <c r="Q188" s="210"/>
      <c r="R188" s="71" t="s">
        <v>180</v>
      </c>
      <c r="S188" s="210" t="s">
        <v>267</v>
      </c>
      <c r="T188" s="166" t="s">
        <v>4602</v>
      </c>
      <c r="U188" s="166">
        <v>27363</v>
      </c>
      <c r="V188" s="111">
        <v>239.3886</v>
      </c>
      <c r="W188" s="111">
        <f t="shared" si="64"/>
        <v>6550390.2617999995</v>
      </c>
      <c r="X188" s="97" t="s">
        <v>452</v>
      </c>
      <c r="AH188" s="97">
        <v>168</v>
      </c>
      <c r="AI188" s="111" t="s">
        <v>5065</v>
      </c>
      <c r="AJ188" s="111">
        <v>30000</v>
      </c>
      <c r="AK188" s="97">
        <v>7</v>
      </c>
      <c r="AL188" s="20">
        <f t="shared" si="65"/>
        <v>496</v>
      </c>
      <c r="AM188" s="115">
        <f t="shared" si="66"/>
        <v>14880000</v>
      </c>
      <c r="AN188" s="20"/>
    </row>
    <row r="189" spans="5:43">
      <c r="G189" s="210" t="s">
        <v>5508</v>
      </c>
      <c r="H189" s="1">
        <v>5745697.3157000002</v>
      </c>
      <c r="P189" s="112"/>
      <c r="Q189" s="210"/>
      <c r="R189" s="210" t="s">
        <v>4402</v>
      </c>
      <c r="S189" s="111">
        <v>3000000</v>
      </c>
      <c r="T189" s="207" t="s">
        <v>4604</v>
      </c>
      <c r="U189" s="207">
        <v>27437</v>
      </c>
      <c r="V189" s="111">
        <v>242.4015</v>
      </c>
      <c r="W189" s="111">
        <f t="shared" si="64"/>
        <v>6650769.9555000002</v>
      </c>
      <c r="X189" s="97" t="s">
        <v>744</v>
      </c>
      <c r="AH189" s="97">
        <v>169</v>
      </c>
      <c r="AI189" s="111" t="s">
        <v>5024</v>
      </c>
      <c r="AJ189" s="111">
        <v>-10000000</v>
      </c>
      <c r="AK189" s="97">
        <v>0</v>
      </c>
      <c r="AL189" s="20">
        <f t="shared" si="65"/>
        <v>489</v>
      </c>
      <c r="AM189" s="115">
        <f t="shared" si="66"/>
        <v>-4890000000</v>
      </c>
      <c r="AN189" s="20" t="s">
        <v>4984</v>
      </c>
    </row>
    <row r="190" spans="5:43">
      <c r="G190" s="210" t="s">
        <v>5509</v>
      </c>
      <c r="H190" s="1">
        <v>908158.17935999995</v>
      </c>
      <c r="P190" s="112"/>
      <c r="Q190" s="210"/>
      <c r="R190" s="210" t="s">
        <v>4448</v>
      </c>
      <c r="S190" s="111">
        <v>2000000</v>
      </c>
      <c r="T190" s="207" t="s">
        <v>4604</v>
      </c>
      <c r="U190" s="207">
        <v>29104</v>
      </c>
      <c r="V190" s="111">
        <v>242.4015</v>
      </c>
      <c r="W190" s="111">
        <f t="shared" si="64"/>
        <v>7054853.2560000001</v>
      </c>
      <c r="X190" s="97" t="s">
        <v>452</v>
      </c>
      <c r="AH190" s="97">
        <v>170</v>
      </c>
      <c r="AI190" s="111" t="s">
        <v>5024</v>
      </c>
      <c r="AJ190" s="111">
        <v>6000000</v>
      </c>
      <c r="AK190" s="97">
        <v>8</v>
      </c>
      <c r="AL190" s="20">
        <f t="shared" si="65"/>
        <v>489</v>
      </c>
      <c r="AM190" s="115">
        <f t="shared" si="66"/>
        <v>2934000000</v>
      </c>
      <c r="AN190" s="20"/>
      <c r="AP190" t="s">
        <v>25</v>
      </c>
    </row>
    <row r="191" spans="5:43">
      <c r="G191" s="210" t="s">
        <v>5510</v>
      </c>
      <c r="H191" s="1">
        <v>12642697.648548001</v>
      </c>
      <c r="P191" s="112"/>
      <c r="Q191" s="210"/>
      <c r="R191" s="210" t="s">
        <v>4456</v>
      </c>
      <c r="S191" s="111">
        <v>1000000</v>
      </c>
      <c r="T191" s="210" t="s">
        <v>4621</v>
      </c>
      <c r="U191" s="210">
        <v>8991</v>
      </c>
      <c r="V191" s="111">
        <v>238.64867000000001</v>
      </c>
      <c r="W191" s="111">
        <f t="shared" si="64"/>
        <v>2145690.19197</v>
      </c>
      <c r="X191" s="97" t="s">
        <v>744</v>
      </c>
      <c r="AH191" s="97">
        <v>171</v>
      </c>
      <c r="AI191" s="111" t="s">
        <v>5090</v>
      </c>
      <c r="AJ191" s="111">
        <v>150000</v>
      </c>
      <c r="AK191" s="97">
        <v>7</v>
      </c>
      <c r="AL191" s="20">
        <f>AL192+AK191</f>
        <v>481</v>
      </c>
      <c r="AM191" s="115">
        <f>AJ191*AL191</f>
        <v>72150000</v>
      </c>
      <c r="AN191" s="20"/>
    </row>
    <row r="192" spans="5:43">
      <c r="G192" s="210" t="s">
        <v>5511</v>
      </c>
      <c r="H192" s="1">
        <v>12297318</v>
      </c>
      <c r="I192" t="s">
        <v>25</v>
      </c>
      <c r="P192" s="112"/>
      <c r="Q192" s="210"/>
      <c r="R192" s="210" t="s">
        <v>4460</v>
      </c>
      <c r="S192" s="111">
        <v>2000000</v>
      </c>
      <c r="T192" s="210" t="s">
        <v>4621</v>
      </c>
      <c r="U192" s="210">
        <v>8991</v>
      </c>
      <c r="V192" s="111">
        <v>238.64867000000001</v>
      </c>
      <c r="W192" s="111">
        <f t="shared" si="64"/>
        <v>2145690.19197</v>
      </c>
      <c r="X192" s="97" t="s">
        <v>452</v>
      </c>
      <c r="AH192" s="97">
        <v>172</v>
      </c>
      <c r="AI192" s="111" t="s">
        <v>5123</v>
      </c>
      <c r="AJ192" s="111">
        <v>400000</v>
      </c>
      <c r="AK192" s="97">
        <v>1</v>
      </c>
      <c r="AL192" s="20">
        <f>AL193+AK192</f>
        <v>474</v>
      </c>
      <c r="AM192" s="115">
        <f>AJ192*AL192</f>
        <v>189600000</v>
      </c>
      <c r="AN192" s="20"/>
    </row>
    <row r="193" spans="7:45">
      <c r="G193" s="210" t="s">
        <v>5512</v>
      </c>
      <c r="H193" s="1">
        <v>8959644</v>
      </c>
      <c r="Q193" s="210"/>
      <c r="R193" s="210" t="s">
        <v>979</v>
      </c>
      <c r="S193" s="111">
        <v>3000000</v>
      </c>
      <c r="T193" s="210" t="s">
        <v>4632</v>
      </c>
      <c r="U193" s="210">
        <v>18170</v>
      </c>
      <c r="V193" s="111">
        <v>240.48475999999999</v>
      </c>
      <c r="W193" s="111">
        <f t="shared" si="64"/>
        <v>4369608.0892000003</v>
      </c>
      <c r="X193" s="97" t="s">
        <v>744</v>
      </c>
      <c r="AH193" s="97">
        <v>173</v>
      </c>
      <c r="AI193" s="111" t="s">
        <v>5126</v>
      </c>
      <c r="AJ193" s="111">
        <v>-100000</v>
      </c>
      <c r="AK193" s="97">
        <v>1</v>
      </c>
      <c r="AL193" s="20">
        <f>AL194+AK193</f>
        <v>473</v>
      </c>
      <c r="AM193" s="115">
        <f>AJ193*AL193</f>
        <v>-47300000</v>
      </c>
      <c r="AN193" s="20"/>
    </row>
    <row r="194" spans="7:45">
      <c r="G194" s="210" t="s">
        <v>5513</v>
      </c>
      <c r="H194" s="111">
        <v>15154095.839328</v>
      </c>
      <c r="Q194" s="210"/>
      <c r="R194" s="210" t="s">
        <v>4593</v>
      </c>
      <c r="S194" s="111">
        <v>3000000</v>
      </c>
      <c r="T194" s="210" t="s">
        <v>4632</v>
      </c>
      <c r="U194" s="210">
        <v>18170</v>
      </c>
      <c r="V194" s="111">
        <v>240.48475999999999</v>
      </c>
      <c r="W194" s="111">
        <f t="shared" si="64"/>
        <v>4369608.0892000003</v>
      </c>
      <c r="X194" s="97" t="s">
        <v>452</v>
      </c>
      <c r="AH194" s="97">
        <v>174</v>
      </c>
      <c r="AI194" s="111" t="s">
        <v>5130</v>
      </c>
      <c r="AJ194" s="111">
        <v>10000000</v>
      </c>
      <c r="AK194" s="97">
        <v>1</v>
      </c>
      <c r="AL194" s="20">
        <f>AL195+AK194</f>
        <v>472</v>
      </c>
      <c r="AM194" s="115">
        <f>AJ194*AL194</f>
        <v>4720000000</v>
      </c>
      <c r="AN194" s="20" t="s">
        <v>4686</v>
      </c>
      <c r="AS194" t="s">
        <v>25</v>
      </c>
    </row>
    <row r="195" spans="7:45">
      <c r="G195" s="210" t="s">
        <v>5518</v>
      </c>
      <c r="H195" s="111">
        <v>4108143</v>
      </c>
      <c r="Q195" s="210" t="s">
        <v>4763</v>
      </c>
      <c r="R195" s="210" t="s">
        <v>4758</v>
      </c>
      <c r="S195" s="111">
        <v>-800000</v>
      </c>
      <c r="T195" s="210" t="s">
        <v>4634</v>
      </c>
      <c r="U195" s="210">
        <v>36797</v>
      </c>
      <c r="V195" s="111">
        <v>239.0822</v>
      </c>
      <c r="W195" s="111">
        <f t="shared" si="64"/>
        <v>8797507.7134000007</v>
      </c>
      <c r="X195" s="97" t="s">
        <v>744</v>
      </c>
      <c r="AH195" s="97">
        <v>175</v>
      </c>
      <c r="AI195" s="111" t="s">
        <v>5135</v>
      </c>
      <c r="AJ195" s="111">
        <v>-400000</v>
      </c>
      <c r="AK195" s="97">
        <v>6</v>
      </c>
      <c r="AL195" s="20">
        <f t="shared" ref="AL195:AL203" si="67">AL196+AK195</f>
        <v>471</v>
      </c>
      <c r="AM195" s="115">
        <f t="shared" ref="AM195:AM203" si="68">AJ195*AL195</f>
        <v>-188400000</v>
      </c>
      <c r="AN195" s="20"/>
    </row>
    <row r="196" spans="7:45">
      <c r="G196" s="210" t="s">
        <v>5523</v>
      </c>
      <c r="H196" s="111">
        <v>6000000</v>
      </c>
      <c r="Q196" s="210" t="s">
        <v>4764</v>
      </c>
      <c r="R196" s="210" t="s">
        <v>4758</v>
      </c>
      <c r="S196" s="111">
        <v>-900000</v>
      </c>
      <c r="T196" s="210" t="s">
        <v>4634</v>
      </c>
      <c r="U196" s="210">
        <v>36797</v>
      </c>
      <c r="V196" s="111">
        <v>239.0822</v>
      </c>
      <c r="W196" s="111">
        <f t="shared" si="64"/>
        <v>8797507.7134000007</v>
      </c>
      <c r="X196" s="97" t="s">
        <v>452</v>
      </c>
      <c r="Z196" t="s">
        <v>25</v>
      </c>
      <c r="AH196" s="97">
        <v>176</v>
      </c>
      <c r="AI196" s="111" t="s">
        <v>5142</v>
      </c>
      <c r="AJ196" s="111">
        <v>1300000</v>
      </c>
      <c r="AK196" s="97">
        <v>0</v>
      </c>
      <c r="AL196" s="20">
        <f t="shared" si="67"/>
        <v>465</v>
      </c>
      <c r="AM196" s="115">
        <f t="shared" si="68"/>
        <v>604500000</v>
      </c>
      <c r="AN196" s="20"/>
      <c r="AR196" t="s">
        <v>25</v>
      </c>
    </row>
    <row r="197" spans="7:45">
      <c r="G197" s="210" t="s">
        <v>5527</v>
      </c>
      <c r="H197" s="111">
        <v>8301786</v>
      </c>
      <c r="I197" t="s">
        <v>25</v>
      </c>
      <c r="J197" t="s">
        <v>25</v>
      </c>
      <c r="Q197" s="210" t="s">
        <v>4764</v>
      </c>
      <c r="R197" s="210" t="s">
        <v>966</v>
      </c>
      <c r="S197" s="111">
        <v>-1100000</v>
      </c>
      <c r="T197" s="210" t="s">
        <v>4643</v>
      </c>
      <c r="U197" s="210">
        <v>28066</v>
      </c>
      <c r="V197" s="111">
        <v>237.56970000000001</v>
      </c>
      <c r="W197" s="111">
        <f t="shared" si="64"/>
        <v>6667631.2002000008</v>
      </c>
      <c r="X197" s="97" t="s">
        <v>744</v>
      </c>
      <c r="AH197" s="97">
        <v>177</v>
      </c>
      <c r="AI197" s="111" t="s">
        <v>5142</v>
      </c>
      <c r="AJ197" s="111">
        <v>230000</v>
      </c>
      <c r="AK197" s="97">
        <v>1</v>
      </c>
      <c r="AL197" s="20">
        <f t="shared" si="67"/>
        <v>465</v>
      </c>
      <c r="AM197" s="115">
        <f t="shared" si="68"/>
        <v>106950000</v>
      </c>
      <c r="AN197" s="20"/>
    </row>
    <row r="198" spans="7:45">
      <c r="G198" s="210" t="s">
        <v>5531</v>
      </c>
      <c r="H198" s="111">
        <v>50725508.571864001</v>
      </c>
      <c r="J198" t="s">
        <v>25</v>
      </c>
      <c r="Q198" s="188" t="s">
        <v>1071</v>
      </c>
      <c r="R198" s="188" t="s">
        <v>4787</v>
      </c>
      <c r="S198" s="194">
        <v>30000000</v>
      </c>
      <c r="T198" s="210" t="s">
        <v>4643</v>
      </c>
      <c r="U198" s="210">
        <v>28066</v>
      </c>
      <c r="V198" s="111">
        <v>237.56970000000001</v>
      </c>
      <c r="W198" s="111">
        <f t="shared" si="64"/>
        <v>6667631.2002000008</v>
      </c>
      <c r="X198" s="97" t="s">
        <v>452</v>
      </c>
      <c r="Y198" t="s">
        <v>25</v>
      </c>
      <c r="AH198" s="97">
        <v>178</v>
      </c>
      <c r="AI198" s="111" t="s">
        <v>5145</v>
      </c>
      <c r="AJ198" s="111">
        <v>880000</v>
      </c>
      <c r="AK198" s="97">
        <v>4</v>
      </c>
      <c r="AL198" s="20">
        <f t="shared" si="67"/>
        <v>464</v>
      </c>
      <c r="AM198" s="115">
        <f t="shared" si="68"/>
        <v>408320000</v>
      </c>
      <c r="AN198" s="20"/>
    </row>
    <row r="199" spans="7:45">
      <c r="G199" s="210" t="s">
        <v>5532</v>
      </c>
      <c r="H199" s="111">
        <v>2281961.458596</v>
      </c>
      <c r="P199" s="112"/>
      <c r="Q199" s="19" t="s">
        <v>4867</v>
      </c>
      <c r="R199" s="19" t="s">
        <v>4865</v>
      </c>
      <c r="S199" s="115">
        <v>2000000</v>
      </c>
      <c r="T199" s="210" t="s">
        <v>3668</v>
      </c>
      <c r="U199" s="210">
        <v>37457</v>
      </c>
      <c r="V199" s="111">
        <v>239.77</v>
      </c>
      <c r="W199" s="111">
        <f t="shared" si="64"/>
        <v>8981064.8900000006</v>
      </c>
      <c r="X199" s="97" t="s">
        <v>744</v>
      </c>
      <c r="AH199" s="97">
        <v>179</v>
      </c>
      <c r="AI199" s="111" t="s">
        <v>5149</v>
      </c>
      <c r="AJ199" s="111">
        <v>-900000</v>
      </c>
      <c r="AK199" s="97">
        <v>1</v>
      </c>
      <c r="AL199" s="20">
        <f t="shared" si="67"/>
        <v>460</v>
      </c>
      <c r="AM199" s="115">
        <f t="shared" si="68"/>
        <v>-414000000</v>
      </c>
      <c r="AN199" s="20"/>
    </row>
    <row r="200" spans="7:45">
      <c r="G200" s="210" t="s">
        <v>5539</v>
      </c>
      <c r="H200" s="111">
        <v>10998285</v>
      </c>
      <c r="K200" t="s">
        <v>25</v>
      </c>
      <c r="P200" s="112"/>
      <c r="Q200" s="187" t="s">
        <v>4889</v>
      </c>
      <c r="R200" s="187" t="s">
        <v>4888</v>
      </c>
      <c r="S200" s="186">
        <v>480105</v>
      </c>
      <c r="T200" s="210" t="s">
        <v>3668</v>
      </c>
      <c r="U200" s="210">
        <v>37457</v>
      </c>
      <c r="V200" s="111">
        <v>239.77</v>
      </c>
      <c r="W200" s="111">
        <f t="shared" si="64"/>
        <v>8981064.8900000006</v>
      </c>
      <c r="X200" s="97" t="s">
        <v>452</v>
      </c>
      <c r="Y200" s="94" t="s">
        <v>25</v>
      </c>
      <c r="AH200" s="97">
        <v>180</v>
      </c>
      <c r="AI200" s="111" t="s">
        <v>977</v>
      </c>
      <c r="AJ200" s="111">
        <v>-3500000</v>
      </c>
      <c r="AK200" s="97">
        <v>1</v>
      </c>
      <c r="AL200" s="20">
        <f t="shared" si="67"/>
        <v>459</v>
      </c>
      <c r="AM200" s="115">
        <f t="shared" si="68"/>
        <v>-1606500000</v>
      </c>
      <c r="AN200" s="20"/>
      <c r="AR200" t="s">
        <v>25</v>
      </c>
    </row>
    <row r="201" spans="7:45">
      <c r="G201" s="210" t="s">
        <v>5540</v>
      </c>
      <c r="H201" s="111">
        <v>983018.96187300002</v>
      </c>
      <c r="J201" t="s">
        <v>25</v>
      </c>
      <c r="P201" s="112"/>
      <c r="Q201" s="187"/>
      <c r="R201" s="187" t="s">
        <v>4929</v>
      </c>
      <c r="S201" s="186">
        <v>30500000</v>
      </c>
      <c r="T201" s="210" t="s">
        <v>4655</v>
      </c>
      <c r="U201" s="210">
        <v>38412</v>
      </c>
      <c r="V201" s="111">
        <v>239.03</v>
      </c>
      <c r="W201" s="111">
        <f t="shared" si="64"/>
        <v>9181620.3599999994</v>
      </c>
      <c r="X201" s="97" t="s">
        <v>744</v>
      </c>
      <c r="Y201" t="s">
        <v>25</v>
      </c>
      <c r="AH201" s="97">
        <v>181</v>
      </c>
      <c r="AI201" s="111" t="s">
        <v>4256</v>
      </c>
      <c r="AJ201" s="111">
        <v>-1600000</v>
      </c>
      <c r="AK201" s="97">
        <v>1</v>
      </c>
      <c r="AL201" s="20">
        <f t="shared" si="67"/>
        <v>458</v>
      </c>
      <c r="AM201" s="115">
        <f t="shared" si="68"/>
        <v>-732800000</v>
      </c>
      <c r="AN201" s="20"/>
      <c r="AQ201" t="s">
        <v>25</v>
      </c>
    </row>
    <row r="202" spans="7:45">
      <c r="G202" s="210" t="s">
        <v>5542</v>
      </c>
      <c r="H202" s="111">
        <v>17049271.032000002</v>
      </c>
      <c r="I202" s="94"/>
      <c r="J202" t="s">
        <v>25</v>
      </c>
      <c r="P202" s="112"/>
      <c r="Q202" s="19" t="s">
        <v>4959</v>
      </c>
      <c r="R202" s="19" t="s">
        <v>4954</v>
      </c>
      <c r="S202" s="115">
        <v>-400000</v>
      </c>
      <c r="T202" s="210" t="s">
        <v>4655</v>
      </c>
      <c r="U202" s="210">
        <v>38412</v>
      </c>
      <c r="V202" s="111">
        <v>239.03</v>
      </c>
      <c r="W202" s="111">
        <f t="shared" si="64"/>
        <v>9181620.3599999994</v>
      </c>
      <c r="X202" s="97" t="s">
        <v>452</v>
      </c>
      <c r="AH202" s="97">
        <v>182</v>
      </c>
      <c r="AI202" s="111" t="s">
        <v>5154</v>
      </c>
      <c r="AJ202" s="111">
        <v>-800000</v>
      </c>
      <c r="AK202" s="97">
        <v>7</v>
      </c>
      <c r="AL202" s="20">
        <f t="shared" si="67"/>
        <v>457</v>
      </c>
      <c r="AM202" s="115">
        <f t="shared" si="68"/>
        <v>-365600000</v>
      </c>
      <c r="AN202" s="20"/>
    </row>
    <row r="203" spans="7:45">
      <c r="G203" s="210" t="s">
        <v>5545</v>
      </c>
      <c r="H203" s="111">
        <v>6829998</v>
      </c>
      <c r="I203" s="94"/>
      <c r="P203" s="112"/>
      <c r="Q203" s="187" t="s">
        <v>5068</v>
      </c>
      <c r="R203" s="187" t="s">
        <v>4989</v>
      </c>
      <c r="S203" s="186">
        <v>-349550</v>
      </c>
      <c r="T203" s="210" t="s">
        <v>4658</v>
      </c>
      <c r="U203" s="210">
        <v>49555</v>
      </c>
      <c r="V203" s="111">
        <v>238.345</v>
      </c>
      <c r="W203" s="111">
        <f t="shared" si="64"/>
        <v>11811186.475</v>
      </c>
      <c r="X203" s="97" t="s">
        <v>744</v>
      </c>
      <c r="AH203" s="97">
        <v>183</v>
      </c>
      <c r="AI203" s="111" t="s">
        <v>5162</v>
      </c>
      <c r="AJ203" s="111">
        <v>50000</v>
      </c>
      <c r="AK203" s="97">
        <v>2</v>
      </c>
      <c r="AL203" s="20">
        <f t="shared" si="67"/>
        <v>450</v>
      </c>
      <c r="AM203" s="115">
        <f t="shared" si="68"/>
        <v>22500000</v>
      </c>
      <c r="AN203" s="20"/>
    </row>
    <row r="204" spans="7:45">
      <c r="G204" s="210" t="s">
        <v>4212</v>
      </c>
      <c r="H204" s="111">
        <v>6982608.8207999999</v>
      </c>
      <c r="I204" s="94"/>
      <c r="P204" s="112"/>
      <c r="Q204" s="19" t="s">
        <v>4959</v>
      </c>
      <c r="R204" s="19" t="s">
        <v>5130</v>
      </c>
      <c r="S204" s="115">
        <v>-200000</v>
      </c>
      <c r="T204" s="210" t="s">
        <v>4658</v>
      </c>
      <c r="U204" s="210">
        <v>49555</v>
      </c>
      <c r="V204" s="111">
        <v>238.345</v>
      </c>
      <c r="W204" s="111">
        <f t="shared" si="64"/>
        <v>11811186.475</v>
      </c>
      <c r="X204" s="97" t="s">
        <v>452</v>
      </c>
      <c r="AH204" s="97">
        <v>184</v>
      </c>
      <c r="AI204" s="111" t="s">
        <v>5164</v>
      </c>
      <c r="AJ204" s="111">
        <v>400000</v>
      </c>
      <c r="AK204" s="97">
        <v>8</v>
      </c>
      <c r="AL204" s="20">
        <f t="shared" ref="AL204:AL213" si="69">AL205+AK204</f>
        <v>448</v>
      </c>
      <c r="AM204" s="115">
        <f t="shared" ref="AM204:AM213" si="70">AJ204*AL204</f>
        <v>179200000</v>
      </c>
      <c r="AN204" s="20"/>
      <c r="AR204" t="s">
        <v>25</v>
      </c>
    </row>
    <row r="205" spans="7:45">
      <c r="G205" s="210" t="s">
        <v>5566</v>
      </c>
      <c r="H205" s="111">
        <v>7510131.0216000006</v>
      </c>
      <c r="I205" s="94"/>
      <c r="J205" t="s">
        <v>25</v>
      </c>
      <c r="P205" s="112"/>
      <c r="Q205" s="19" t="s">
        <v>4959</v>
      </c>
      <c r="R205" s="19" t="s">
        <v>5162</v>
      </c>
      <c r="S205" s="115">
        <v>-122000</v>
      </c>
      <c r="T205" s="210" t="s">
        <v>4672</v>
      </c>
      <c r="U205" s="210">
        <v>160187</v>
      </c>
      <c r="V205" s="111">
        <v>257.49799999999999</v>
      </c>
      <c r="W205" s="111">
        <f t="shared" si="64"/>
        <v>41247832.126000002</v>
      </c>
      <c r="X205" s="97" t="s">
        <v>744</v>
      </c>
      <c r="Y205" t="s">
        <v>25</v>
      </c>
      <c r="AA205" t="s">
        <v>25</v>
      </c>
      <c r="AH205" s="97">
        <v>185</v>
      </c>
      <c r="AI205" s="111" t="s">
        <v>5140</v>
      </c>
      <c r="AJ205" s="111">
        <v>-10000000</v>
      </c>
      <c r="AK205" s="97">
        <v>0</v>
      </c>
      <c r="AL205" s="20">
        <f t="shared" si="69"/>
        <v>440</v>
      </c>
      <c r="AM205" s="115">
        <f t="shared" si="70"/>
        <v>-4400000000</v>
      </c>
      <c r="AN205" s="20" t="s">
        <v>4984</v>
      </c>
    </row>
    <row r="206" spans="7:45">
      <c r="G206" s="210" t="s">
        <v>5572</v>
      </c>
      <c r="H206" s="111">
        <v>10397191</v>
      </c>
      <c r="J206" t="s">
        <v>25</v>
      </c>
      <c r="K206" t="s">
        <v>25</v>
      </c>
      <c r="P206" s="112"/>
      <c r="Q206" s="19" t="s">
        <v>4959</v>
      </c>
      <c r="R206" s="19" t="s">
        <v>5170</v>
      </c>
      <c r="S206" s="115">
        <v>-700000</v>
      </c>
      <c r="T206" s="210" t="s">
        <v>4672</v>
      </c>
      <c r="U206" s="210">
        <v>160187</v>
      </c>
      <c r="V206" s="111">
        <v>257.49799999999999</v>
      </c>
      <c r="W206" s="111">
        <f t="shared" si="64"/>
        <v>41247832.126000002</v>
      </c>
      <c r="X206" s="97" t="s">
        <v>452</v>
      </c>
      <c r="AH206" s="97">
        <v>186</v>
      </c>
      <c r="AI206" s="111" t="s">
        <v>5140</v>
      </c>
      <c r="AJ206" s="111">
        <v>3000000</v>
      </c>
      <c r="AK206" s="97">
        <v>1</v>
      </c>
      <c r="AL206" s="20">
        <f t="shared" si="69"/>
        <v>440</v>
      </c>
      <c r="AM206" s="115">
        <f t="shared" si="70"/>
        <v>1320000000</v>
      </c>
      <c r="AN206" s="20"/>
    </row>
    <row r="207" spans="7:45">
      <c r="G207" s="210" t="s">
        <v>5581</v>
      </c>
      <c r="H207" s="111">
        <v>195059.35799999998</v>
      </c>
      <c r="J207" t="s">
        <v>25</v>
      </c>
      <c r="Q207" s="19" t="s">
        <v>4959</v>
      </c>
      <c r="R207" s="19" t="s">
        <v>5180</v>
      </c>
      <c r="S207" s="115">
        <v>-60000</v>
      </c>
      <c r="T207" s="210" t="s">
        <v>4679</v>
      </c>
      <c r="U207" s="210">
        <v>144401</v>
      </c>
      <c r="V207" s="111">
        <v>258.5061</v>
      </c>
      <c r="W207" s="111">
        <f t="shared" si="64"/>
        <v>37328539.346100003</v>
      </c>
      <c r="X207" s="97" t="s">
        <v>744</v>
      </c>
      <c r="Z207" t="s">
        <v>25</v>
      </c>
      <c r="AH207" s="97">
        <v>187</v>
      </c>
      <c r="AI207" s="111" t="s">
        <v>5176</v>
      </c>
      <c r="AJ207" s="111">
        <v>500000</v>
      </c>
      <c r="AK207" s="97">
        <v>23</v>
      </c>
      <c r="AL207" s="20">
        <f t="shared" si="69"/>
        <v>439</v>
      </c>
      <c r="AM207" s="115">
        <f t="shared" si="70"/>
        <v>219500000</v>
      </c>
      <c r="AN207" s="20"/>
      <c r="AR207" t="s">
        <v>25</v>
      </c>
    </row>
    <row r="208" spans="7:45">
      <c r="G208" s="210" t="s">
        <v>5586</v>
      </c>
      <c r="H208" s="111">
        <v>744082</v>
      </c>
      <c r="P208" s="112"/>
      <c r="Q208" s="19" t="s">
        <v>4409</v>
      </c>
      <c r="R208" s="19" t="s">
        <v>5239</v>
      </c>
      <c r="S208" s="115">
        <v>700000</v>
      </c>
      <c r="T208" s="210" t="s">
        <v>4679</v>
      </c>
      <c r="U208" s="210">
        <v>144401</v>
      </c>
      <c r="V208" s="111">
        <v>258.5061</v>
      </c>
      <c r="W208" s="111">
        <f t="shared" si="64"/>
        <v>37328539.346100003</v>
      </c>
      <c r="X208" s="97" t="s">
        <v>452</v>
      </c>
      <c r="AH208" s="97">
        <v>188</v>
      </c>
      <c r="AI208" s="111" t="s">
        <v>5197</v>
      </c>
      <c r="AJ208" s="111">
        <v>101268</v>
      </c>
      <c r="AK208" s="97">
        <v>1</v>
      </c>
      <c r="AL208" s="20">
        <f t="shared" si="69"/>
        <v>416</v>
      </c>
      <c r="AM208" s="115">
        <f t="shared" si="70"/>
        <v>42127488</v>
      </c>
      <c r="AN208" s="20"/>
      <c r="AR208" t="s">
        <v>25</v>
      </c>
    </row>
    <row r="209" spans="7:46">
      <c r="G209" s="210" t="s">
        <v>5588</v>
      </c>
      <c r="H209" s="111">
        <v>920308.446</v>
      </c>
      <c r="P209" s="112"/>
      <c r="Q209" s="187" t="s">
        <v>1071</v>
      </c>
      <c r="R209" s="187" t="s">
        <v>5258</v>
      </c>
      <c r="S209" s="186">
        <v>40000000</v>
      </c>
      <c r="T209" s="166" t="s">
        <v>4685</v>
      </c>
      <c r="U209" s="166">
        <v>196500</v>
      </c>
      <c r="V209" s="111">
        <v>254.452</v>
      </c>
      <c r="W209" s="111">
        <f t="shared" si="64"/>
        <v>49999818</v>
      </c>
      <c r="X209" s="97" t="s">
        <v>4688</v>
      </c>
      <c r="Y209" t="s">
        <v>25</v>
      </c>
      <c r="AH209" s="97">
        <v>189</v>
      </c>
      <c r="AI209" s="111" t="s">
        <v>5200</v>
      </c>
      <c r="AJ209" s="111">
        <v>101000</v>
      </c>
      <c r="AK209" s="97">
        <v>34</v>
      </c>
      <c r="AL209" s="20">
        <f t="shared" si="69"/>
        <v>415</v>
      </c>
      <c r="AM209" s="115">
        <f t="shared" si="70"/>
        <v>41915000</v>
      </c>
      <c r="AN209" s="20"/>
      <c r="AP209" t="s">
        <v>25</v>
      </c>
      <c r="AT209" s="94" t="s">
        <v>25</v>
      </c>
    </row>
    <row r="210" spans="7:46">
      <c r="G210" s="210" t="s">
        <v>5589</v>
      </c>
      <c r="H210" s="111">
        <v>4635809.8416840006</v>
      </c>
      <c r="Q210" s="19" t="s">
        <v>4409</v>
      </c>
      <c r="R210" s="19" t="s">
        <v>5262</v>
      </c>
      <c r="S210" s="115">
        <v>-800000</v>
      </c>
      <c r="T210" s="210" t="s">
        <v>4685</v>
      </c>
      <c r="U210" s="210">
        <v>2561</v>
      </c>
      <c r="V210" s="111">
        <v>254.536</v>
      </c>
      <c r="W210" s="111">
        <f t="shared" si="64"/>
        <v>651866.696</v>
      </c>
      <c r="X210" s="97" t="s">
        <v>4689</v>
      </c>
      <c r="AA210" t="s">
        <v>25</v>
      </c>
      <c r="AH210" s="97">
        <v>190</v>
      </c>
      <c r="AI210" s="111" t="s">
        <v>5225</v>
      </c>
      <c r="AJ210" s="111">
        <v>-488602</v>
      </c>
      <c r="AK210" s="97">
        <v>5</v>
      </c>
      <c r="AL210" s="20">
        <f t="shared" si="69"/>
        <v>381</v>
      </c>
      <c r="AM210" s="115">
        <f t="shared" si="70"/>
        <v>-186157362</v>
      </c>
      <c r="AN210" s="20"/>
      <c r="AR210" t="s">
        <v>25</v>
      </c>
    </row>
    <row r="211" spans="7:46">
      <c r="G211" s="210" t="s">
        <v>5619</v>
      </c>
      <c r="H211" s="111">
        <v>58508002.009000003</v>
      </c>
      <c r="J211" t="s">
        <v>25</v>
      </c>
      <c r="K211" t="s">
        <v>25</v>
      </c>
      <c r="P211" s="112"/>
      <c r="Q211" s="210" t="s">
        <v>4409</v>
      </c>
      <c r="R211" s="210" t="s">
        <v>5345</v>
      </c>
      <c r="S211" s="115">
        <v>700000</v>
      </c>
      <c r="T211" s="210" t="s">
        <v>4730</v>
      </c>
      <c r="U211" s="210">
        <v>-11795</v>
      </c>
      <c r="V211" s="111">
        <v>254.334</v>
      </c>
      <c r="W211" s="111">
        <f t="shared" si="64"/>
        <v>-2999869.5300000003</v>
      </c>
      <c r="X211" s="97" t="s">
        <v>4731</v>
      </c>
      <c r="AH211" s="97">
        <v>191</v>
      </c>
      <c r="AI211" s="111" t="s">
        <v>5239</v>
      </c>
      <c r="AJ211" s="111">
        <v>360000</v>
      </c>
      <c r="AK211" s="97">
        <v>10</v>
      </c>
      <c r="AL211" s="20">
        <f t="shared" si="69"/>
        <v>376</v>
      </c>
      <c r="AM211" s="115">
        <f t="shared" si="70"/>
        <v>135360000</v>
      </c>
      <c r="AN211" s="20"/>
      <c r="AR211" t="s">
        <v>25</v>
      </c>
    </row>
    <row r="212" spans="7:46">
      <c r="G212" s="210" t="s">
        <v>5621</v>
      </c>
      <c r="H212" s="111">
        <v>2245515.5410799999</v>
      </c>
      <c r="J212" t="s">
        <v>25</v>
      </c>
      <c r="P212" s="112"/>
      <c r="Q212" s="187" t="s">
        <v>5366</v>
      </c>
      <c r="R212" s="187" t="s">
        <v>5364</v>
      </c>
      <c r="S212" s="186">
        <v>-26000000</v>
      </c>
      <c r="T212" s="210" t="s">
        <v>4730</v>
      </c>
      <c r="U212" s="210">
        <v>11795</v>
      </c>
      <c r="V212" s="111">
        <v>254.334</v>
      </c>
      <c r="W212" s="111">
        <f t="shared" si="64"/>
        <v>2999869.5300000003</v>
      </c>
      <c r="X212" s="97" t="s">
        <v>4732</v>
      </c>
      <c r="AH212" s="97">
        <v>192</v>
      </c>
      <c r="AI212" s="111" t="s">
        <v>5249</v>
      </c>
      <c r="AJ212" s="111">
        <v>-3600000</v>
      </c>
      <c r="AK212" s="97">
        <v>4</v>
      </c>
      <c r="AL212" s="20">
        <f t="shared" si="69"/>
        <v>366</v>
      </c>
      <c r="AM212" s="115">
        <f t="shared" si="70"/>
        <v>-1317600000</v>
      </c>
      <c r="AN212" s="20"/>
      <c r="AS212" t="s">
        <v>25</v>
      </c>
    </row>
    <row r="213" spans="7:46">
      <c r="G213" s="210" t="s">
        <v>5623</v>
      </c>
      <c r="H213" s="111">
        <v>18404699.3442</v>
      </c>
      <c r="Q213" s="187" t="s">
        <v>5366</v>
      </c>
      <c r="R213" s="187" t="s">
        <v>5368</v>
      </c>
      <c r="S213" s="186">
        <v>-95900000</v>
      </c>
      <c r="T213" s="210" t="s">
        <v>4744</v>
      </c>
      <c r="U213" s="210">
        <v>260</v>
      </c>
      <c r="V213" s="111">
        <v>263.19</v>
      </c>
      <c r="W213" s="111">
        <f t="shared" si="64"/>
        <v>68429.399999999994</v>
      </c>
      <c r="X213" s="97" t="s">
        <v>452</v>
      </c>
      <c r="AH213" s="97">
        <v>193</v>
      </c>
      <c r="AI213" s="111" t="s">
        <v>5255</v>
      </c>
      <c r="AJ213" s="111">
        <v>-1000000</v>
      </c>
      <c r="AK213" s="97">
        <v>5</v>
      </c>
      <c r="AL213" s="20">
        <f t="shared" si="69"/>
        <v>362</v>
      </c>
      <c r="AM213" s="115">
        <f t="shared" si="70"/>
        <v>-362000000</v>
      </c>
      <c r="AN213" s="20"/>
      <c r="AR213" t="s">
        <v>25</v>
      </c>
    </row>
    <row r="214" spans="7:46">
      <c r="G214" s="210" t="s">
        <v>5626</v>
      </c>
      <c r="H214" s="111">
        <v>2264658.5922190002</v>
      </c>
      <c r="P214" s="112"/>
      <c r="Q214" s="187" t="s">
        <v>5366</v>
      </c>
      <c r="R214" s="187" t="s">
        <v>5369</v>
      </c>
      <c r="S214" s="186">
        <v>-28950000</v>
      </c>
      <c r="T214" s="210" t="s">
        <v>4753</v>
      </c>
      <c r="U214" s="210">
        <v>15257</v>
      </c>
      <c r="V214" s="111">
        <v>262.19018</v>
      </c>
      <c r="W214" s="111">
        <f t="shared" si="64"/>
        <v>4000235.57626</v>
      </c>
      <c r="X214" s="97" t="s">
        <v>452</v>
      </c>
      <c r="AH214" s="97">
        <v>194</v>
      </c>
      <c r="AI214" s="111" t="s">
        <v>5260</v>
      </c>
      <c r="AJ214" s="111">
        <v>360000</v>
      </c>
      <c r="AK214" s="97">
        <v>2</v>
      </c>
      <c r="AL214" s="20">
        <f t="shared" ref="AL214:AL263" si="71">AL215+AK214</f>
        <v>357</v>
      </c>
      <c r="AM214" s="115">
        <f t="shared" ref="AM214:AM263" si="72">AJ214*AL214</f>
        <v>128520000</v>
      </c>
      <c r="AN214" s="20"/>
      <c r="AQ214" t="s">
        <v>25</v>
      </c>
    </row>
    <row r="215" spans="7:46">
      <c r="G215" s="210" t="s">
        <v>5628</v>
      </c>
      <c r="H215" s="111">
        <v>22877413.789960001</v>
      </c>
      <c r="Q215" s="187" t="s">
        <v>5385</v>
      </c>
      <c r="R215" s="187" t="s">
        <v>5383</v>
      </c>
      <c r="S215" s="186">
        <v>1896188</v>
      </c>
      <c r="T215" s="210" t="s">
        <v>4753</v>
      </c>
      <c r="U215" s="210">
        <v>8444</v>
      </c>
      <c r="V215" s="111">
        <v>266.43029999999999</v>
      </c>
      <c r="W215" s="111">
        <f t="shared" si="64"/>
        <v>2249737.4531999999</v>
      </c>
      <c r="X215" s="97" t="s">
        <v>452</v>
      </c>
      <c r="AH215" s="97">
        <v>195</v>
      </c>
      <c r="AI215" s="111" t="s">
        <v>5265</v>
      </c>
      <c r="AJ215" s="111">
        <v>2000000</v>
      </c>
      <c r="AK215" s="97">
        <v>1</v>
      </c>
      <c r="AL215" s="20">
        <f t="shared" si="71"/>
        <v>355</v>
      </c>
      <c r="AM215" s="115">
        <f t="shared" si="72"/>
        <v>710000000</v>
      </c>
      <c r="AN215" s="20"/>
    </row>
    <row r="216" spans="7:46">
      <c r="G216" s="210" t="s">
        <v>5631</v>
      </c>
      <c r="H216" s="111">
        <v>2362539.4373280001</v>
      </c>
      <c r="Q216" s="187" t="s">
        <v>5563</v>
      </c>
      <c r="R216" s="187" t="s">
        <v>4212</v>
      </c>
      <c r="S216" s="186">
        <v>13752871.322800001</v>
      </c>
      <c r="T216" s="210" t="s">
        <v>4758</v>
      </c>
      <c r="U216" s="210">
        <v>-6209</v>
      </c>
      <c r="V216" s="111">
        <v>273.79649999999998</v>
      </c>
      <c r="W216" s="111">
        <f t="shared" si="64"/>
        <v>-1700002.4685</v>
      </c>
      <c r="X216" s="97" t="s">
        <v>4769</v>
      </c>
      <c r="AH216" s="97">
        <v>196</v>
      </c>
      <c r="AI216" s="111" t="s">
        <v>5267</v>
      </c>
      <c r="AJ216" s="111">
        <v>20000000</v>
      </c>
      <c r="AK216" s="97">
        <v>0</v>
      </c>
      <c r="AL216" s="20">
        <f t="shared" si="71"/>
        <v>354</v>
      </c>
      <c r="AM216" s="115">
        <f t="shared" si="72"/>
        <v>7080000000</v>
      </c>
      <c r="AN216" s="20" t="s">
        <v>4686</v>
      </c>
      <c r="AR216" t="s">
        <v>25</v>
      </c>
    </row>
    <row r="217" spans="7:46">
      <c r="G217" s="210" t="s">
        <v>5632</v>
      </c>
      <c r="H217" s="111">
        <v>16042676.656608</v>
      </c>
      <c r="Q217" s="19" t="s">
        <v>5575</v>
      </c>
      <c r="R217" s="19" t="s">
        <v>5572</v>
      </c>
      <c r="S217" s="115">
        <v>3123901.3702000002</v>
      </c>
      <c r="T217" s="210" t="s">
        <v>4758</v>
      </c>
      <c r="U217" s="210">
        <v>-8014</v>
      </c>
      <c r="V217" s="111">
        <v>273.79649999999998</v>
      </c>
      <c r="W217" s="111">
        <f t="shared" si="64"/>
        <v>-2194205.1510000001</v>
      </c>
      <c r="X217" s="97" t="s">
        <v>744</v>
      </c>
      <c r="AH217" s="97">
        <v>197</v>
      </c>
      <c r="AI217" s="111" t="s">
        <v>5267</v>
      </c>
      <c r="AJ217" s="111">
        <v>-4700000</v>
      </c>
      <c r="AK217" s="97">
        <v>1</v>
      </c>
      <c r="AL217" s="20">
        <f t="shared" si="71"/>
        <v>354</v>
      </c>
      <c r="AM217" s="115">
        <f t="shared" si="72"/>
        <v>-1663800000</v>
      </c>
      <c r="AN217" s="20"/>
    </row>
    <row r="218" spans="7:46">
      <c r="G218" s="210" t="s">
        <v>5633</v>
      </c>
      <c r="H218" s="111">
        <v>18403291.448284</v>
      </c>
      <c r="J218" t="s">
        <v>25</v>
      </c>
      <c r="P218" s="112"/>
      <c r="Q218" s="187" t="s">
        <v>5978</v>
      </c>
      <c r="R218" s="187" t="s">
        <v>5647</v>
      </c>
      <c r="S218" s="186">
        <v>-322076.40905199997</v>
      </c>
      <c r="T218" s="210" t="s">
        <v>4767</v>
      </c>
      <c r="U218" s="210">
        <v>-9176</v>
      </c>
      <c r="V218" s="111">
        <v>273.79649999999998</v>
      </c>
      <c r="W218" s="111">
        <f t="shared" si="64"/>
        <v>-2512356.6839999999</v>
      </c>
      <c r="X218" s="97" t="s">
        <v>452</v>
      </c>
      <c r="AH218" s="97">
        <v>198</v>
      </c>
      <c r="AI218" s="111" t="s">
        <v>5270</v>
      </c>
      <c r="AJ218" s="111">
        <v>3000000</v>
      </c>
      <c r="AK218" s="97">
        <v>4</v>
      </c>
      <c r="AL218" s="20">
        <f t="shared" si="71"/>
        <v>353</v>
      </c>
      <c r="AM218" s="115">
        <f t="shared" si="72"/>
        <v>1059000000</v>
      </c>
      <c r="AN218" s="20"/>
      <c r="AS218" t="s">
        <v>25</v>
      </c>
    </row>
    <row r="219" spans="7:46">
      <c r="G219" s="210" t="s">
        <v>5636</v>
      </c>
      <c r="H219" s="111">
        <v>10561447.246918</v>
      </c>
      <c r="J219" t="s">
        <v>25</v>
      </c>
      <c r="P219" s="112"/>
      <c r="Q219" s="19" t="s">
        <v>4959</v>
      </c>
      <c r="R219" s="19" t="s">
        <v>5647</v>
      </c>
      <c r="S219" s="115">
        <v>-1500000</v>
      </c>
      <c r="T219" s="210" t="s">
        <v>4767</v>
      </c>
      <c r="U219" s="210">
        <v>1087</v>
      </c>
      <c r="V219" s="111">
        <v>273.79649999999998</v>
      </c>
      <c r="W219" s="111">
        <f t="shared" si="64"/>
        <v>297616.79550000001</v>
      </c>
      <c r="X219" s="97" t="s">
        <v>452</v>
      </c>
      <c r="AH219" s="97">
        <v>199</v>
      </c>
      <c r="AI219" s="111" t="s">
        <v>5272</v>
      </c>
      <c r="AJ219" s="111">
        <v>1500000</v>
      </c>
      <c r="AK219" s="97">
        <v>1</v>
      </c>
      <c r="AL219" s="20">
        <f t="shared" si="71"/>
        <v>349</v>
      </c>
      <c r="AM219" s="115">
        <f t="shared" si="72"/>
        <v>523500000</v>
      </c>
      <c r="AN219" s="20"/>
    </row>
    <row r="220" spans="7:46">
      <c r="G220" s="210" t="s">
        <v>5637</v>
      </c>
      <c r="H220" s="111">
        <v>1226811.9176660001</v>
      </c>
      <c r="P220" s="112"/>
      <c r="Q220" s="187" t="s">
        <v>5661</v>
      </c>
      <c r="R220" s="187" t="s">
        <v>5647</v>
      </c>
      <c r="S220" s="186">
        <v>15000000</v>
      </c>
      <c r="T220" s="210" t="s">
        <v>966</v>
      </c>
      <c r="U220" s="210">
        <v>-4017</v>
      </c>
      <c r="V220" s="111">
        <v>273.79649999999998</v>
      </c>
      <c r="W220" s="111">
        <f t="shared" si="64"/>
        <v>-1099840.5404999999</v>
      </c>
      <c r="X220" s="97" t="s">
        <v>4409</v>
      </c>
      <c r="AH220" s="97">
        <v>200</v>
      </c>
      <c r="AI220" s="111" t="s">
        <v>5274</v>
      </c>
      <c r="AJ220" s="111">
        <v>30000000</v>
      </c>
      <c r="AK220" s="97">
        <v>33</v>
      </c>
      <c r="AL220" s="20">
        <f t="shared" si="71"/>
        <v>348</v>
      </c>
      <c r="AM220" s="115">
        <f t="shared" si="72"/>
        <v>10440000000</v>
      </c>
      <c r="AN220" s="20"/>
    </row>
    <row r="221" spans="7:46">
      <c r="G221" s="210" t="s">
        <v>5638</v>
      </c>
      <c r="H221" s="111">
        <v>39373959.190266006</v>
      </c>
      <c r="P221" s="112"/>
      <c r="Q221" s="187" t="s">
        <v>5677</v>
      </c>
      <c r="R221" s="187" t="s">
        <v>5671</v>
      </c>
      <c r="S221" s="186">
        <v>-1500000</v>
      </c>
      <c r="T221" s="210" t="s">
        <v>966</v>
      </c>
      <c r="U221" s="210">
        <v>4017</v>
      </c>
      <c r="V221" s="111">
        <v>273.79649999999998</v>
      </c>
      <c r="W221" s="111">
        <f t="shared" si="64"/>
        <v>1099840.5404999999</v>
      </c>
      <c r="X221" s="97" t="s">
        <v>452</v>
      </c>
      <c r="AH221" s="97">
        <v>201</v>
      </c>
      <c r="AI221" s="111" t="s">
        <v>5349</v>
      </c>
      <c r="AJ221" s="111">
        <v>3000000</v>
      </c>
      <c r="AK221" s="97">
        <v>1</v>
      </c>
      <c r="AL221" s="20">
        <f t="shared" si="71"/>
        <v>315</v>
      </c>
      <c r="AM221" s="115">
        <f t="shared" si="72"/>
        <v>945000000</v>
      </c>
      <c r="AN221" s="20"/>
    </row>
    <row r="222" spans="7:46">
      <c r="G222" s="210" t="s">
        <v>5643</v>
      </c>
      <c r="H222" s="111">
        <v>27703487.063980002</v>
      </c>
      <c r="J222" t="s">
        <v>25</v>
      </c>
      <c r="P222" s="112"/>
      <c r="Q222" s="187" t="s">
        <v>5764</v>
      </c>
      <c r="R222" s="187" t="s">
        <v>5761</v>
      </c>
      <c r="S222" s="186">
        <v>-70000</v>
      </c>
      <c r="T222" s="210" t="s">
        <v>4774</v>
      </c>
      <c r="U222" s="210">
        <v>3137</v>
      </c>
      <c r="V222" s="111">
        <v>283.69110000000001</v>
      </c>
      <c r="W222" s="111">
        <f t="shared" si="64"/>
        <v>889938.98070000007</v>
      </c>
      <c r="X222" s="97" t="s">
        <v>452</v>
      </c>
      <c r="Y222" t="s">
        <v>25</v>
      </c>
      <c r="AH222" s="97">
        <v>202</v>
      </c>
      <c r="AI222" s="111" t="s">
        <v>5350</v>
      </c>
      <c r="AJ222" s="111">
        <v>7000000</v>
      </c>
      <c r="AK222" s="97">
        <v>4</v>
      </c>
      <c r="AL222" s="20">
        <f t="shared" si="71"/>
        <v>314</v>
      </c>
      <c r="AM222" s="115">
        <f t="shared" si="72"/>
        <v>2198000000</v>
      </c>
      <c r="AN222" s="20"/>
    </row>
    <row r="223" spans="7:46">
      <c r="G223" s="210" t="s">
        <v>5644</v>
      </c>
      <c r="H223" s="111">
        <v>8738896.6890719999</v>
      </c>
      <c r="P223" s="112"/>
      <c r="Q223" s="187" t="s">
        <v>5772</v>
      </c>
      <c r="R223" s="187" t="s">
        <v>5768</v>
      </c>
      <c r="S223" s="186">
        <v>1300000</v>
      </c>
      <c r="T223" s="210" t="s">
        <v>4787</v>
      </c>
      <c r="U223" s="210">
        <v>101933</v>
      </c>
      <c r="V223" s="111">
        <v>294.30973999999998</v>
      </c>
      <c r="W223" s="111">
        <f t="shared" si="64"/>
        <v>29999874.727419998</v>
      </c>
      <c r="X223" s="97" t="s">
        <v>1071</v>
      </c>
      <c r="Y223" t="s">
        <v>25</v>
      </c>
      <c r="AH223" s="97">
        <v>203</v>
      </c>
      <c r="AI223" s="111" t="s">
        <v>5363</v>
      </c>
      <c r="AJ223" s="111">
        <v>8800000</v>
      </c>
      <c r="AK223" s="97">
        <v>2</v>
      </c>
      <c r="AL223" s="20">
        <f t="shared" si="71"/>
        <v>310</v>
      </c>
      <c r="AM223" s="115">
        <f t="shared" si="72"/>
        <v>2728000000</v>
      </c>
      <c r="AN223" s="20"/>
    </row>
    <row r="224" spans="7:46" ht="28.5" customHeight="1">
      <c r="G224" s="210" t="s">
        <v>4185</v>
      </c>
      <c r="H224" s="111">
        <v>348201.66738</v>
      </c>
      <c r="J224" t="s">
        <v>25</v>
      </c>
      <c r="P224" s="112"/>
      <c r="Q224" s="187" t="s">
        <v>60</v>
      </c>
      <c r="R224" s="187" t="s">
        <v>5781</v>
      </c>
      <c r="S224" s="186">
        <v>90000000</v>
      </c>
      <c r="T224" s="210" t="s">
        <v>4794</v>
      </c>
      <c r="U224" s="210">
        <v>3407</v>
      </c>
      <c r="V224" s="111">
        <v>293.43799999999999</v>
      </c>
      <c r="W224" s="111">
        <f t="shared" si="64"/>
        <v>999743.26599999995</v>
      </c>
      <c r="X224" s="97" t="s">
        <v>452</v>
      </c>
      <c r="AH224" s="97">
        <v>204</v>
      </c>
      <c r="AI224" s="111" t="s">
        <v>5368</v>
      </c>
      <c r="AJ224" s="111">
        <v>40000000</v>
      </c>
      <c r="AK224" s="97">
        <v>8</v>
      </c>
      <c r="AL224" s="20">
        <f t="shared" si="71"/>
        <v>308</v>
      </c>
      <c r="AM224" s="115">
        <f t="shared" si="72"/>
        <v>12320000000</v>
      </c>
      <c r="AN224" s="20" t="s">
        <v>4686</v>
      </c>
    </row>
    <row r="225" spans="4:45">
      <c r="G225" s="210" t="s">
        <v>5646</v>
      </c>
      <c r="H225" s="111">
        <v>4158090.8935679998</v>
      </c>
      <c r="J225" t="s">
        <v>25</v>
      </c>
      <c r="P225" s="112"/>
      <c r="Q225" s="187" t="s">
        <v>5885</v>
      </c>
      <c r="R225" s="187" t="s">
        <v>5880</v>
      </c>
      <c r="S225" s="186">
        <v>33832510.64875</v>
      </c>
      <c r="T225" s="210" t="s">
        <v>4795</v>
      </c>
      <c r="U225" s="210">
        <v>68796</v>
      </c>
      <c r="V225" s="111">
        <v>293.53250000000003</v>
      </c>
      <c r="W225" s="111">
        <f t="shared" si="64"/>
        <v>20193861.870000001</v>
      </c>
      <c r="X225" s="97" t="s">
        <v>744</v>
      </c>
      <c r="AH225" s="97">
        <v>205</v>
      </c>
      <c r="AI225" s="111" t="s">
        <v>5383</v>
      </c>
      <c r="AJ225" s="111">
        <v>400000</v>
      </c>
      <c r="AK225" s="97">
        <v>17</v>
      </c>
      <c r="AL225" s="20">
        <f t="shared" si="71"/>
        <v>300</v>
      </c>
      <c r="AM225" s="115">
        <f t="shared" si="72"/>
        <v>120000000</v>
      </c>
      <c r="AN225" s="20"/>
      <c r="AR225" t="s">
        <v>25</v>
      </c>
    </row>
    <row r="226" spans="4:45">
      <c r="F226" s="94"/>
      <c r="G226" s="210" t="s">
        <v>5650</v>
      </c>
      <c r="H226" s="111">
        <v>110770524.97879399</v>
      </c>
      <c r="P226" s="112"/>
      <c r="Q226" s="187" t="s">
        <v>5935</v>
      </c>
      <c r="R226" s="187" t="s">
        <v>5928</v>
      </c>
      <c r="S226" s="186">
        <v>21634932</v>
      </c>
      <c r="T226" s="210" t="s">
        <v>4795</v>
      </c>
      <c r="U226" s="210">
        <v>154791</v>
      </c>
      <c r="V226" s="111">
        <v>293.53250000000003</v>
      </c>
      <c r="W226" s="111">
        <f t="shared" si="64"/>
        <v>45436189.207500003</v>
      </c>
      <c r="X226" s="97" t="s">
        <v>452</v>
      </c>
      <c r="AH226" s="97">
        <v>206</v>
      </c>
      <c r="AI226" s="111" t="s">
        <v>5403</v>
      </c>
      <c r="AJ226" s="111">
        <v>-20000000</v>
      </c>
      <c r="AK226" s="97">
        <v>18</v>
      </c>
      <c r="AL226" s="20">
        <f t="shared" si="71"/>
        <v>283</v>
      </c>
      <c r="AM226" s="115">
        <f t="shared" si="72"/>
        <v>-5660000000</v>
      </c>
      <c r="AN226" s="20" t="s">
        <v>4984</v>
      </c>
    </row>
    <row r="227" spans="4:45">
      <c r="D227" s="94"/>
      <c r="E227" s="94"/>
      <c r="F227" s="94"/>
      <c r="G227" s="210" t="s">
        <v>5662</v>
      </c>
      <c r="H227" s="111">
        <v>6684147.0064600008</v>
      </c>
      <c r="Q227" s="187" t="s">
        <v>4746</v>
      </c>
      <c r="R227" s="187" t="s">
        <v>5928</v>
      </c>
      <c r="S227" s="186">
        <v>-22520813.151772</v>
      </c>
      <c r="T227" s="210" t="s">
        <v>4795</v>
      </c>
      <c r="U227" s="210">
        <v>-11923</v>
      </c>
      <c r="V227" s="111">
        <v>293.53250000000003</v>
      </c>
      <c r="W227" s="111">
        <f t="shared" si="64"/>
        <v>-3499787.9975000005</v>
      </c>
      <c r="X227" s="97" t="s">
        <v>452</v>
      </c>
      <c r="AH227" s="97">
        <v>207</v>
      </c>
      <c r="AI227" s="111" t="s">
        <v>5417</v>
      </c>
      <c r="AJ227" s="111">
        <v>3006000</v>
      </c>
      <c r="AK227" s="97">
        <v>19</v>
      </c>
      <c r="AL227" s="20">
        <f t="shared" si="71"/>
        <v>265</v>
      </c>
      <c r="AM227" s="115">
        <f t="shared" si="72"/>
        <v>796590000</v>
      </c>
      <c r="AN227" s="20"/>
    </row>
    <row r="228" spans="4:45">
      <c r="D228" s="94"/>
      <c r="E228" s="94"/>
      <c r="F228" s="94"/>
      <c r="G228" s="210" t="s">
        <v>5665</v>
      </c>
      <c r="H228" s="111">
        <v>1826535.2307560001</v>
      </c>
      <c r="K228" t="s">
        <v>25</v>
      </c>
      <c r="Q228" s="187"/>
      <c r="R228" s="187"/>
      <c r="S228" s="186"/>
      <c r="T228" s="210" t="s">
        <v>4807</v>
      </c>
      <c r="U228" s="210">
        <v>8424</v>
      </c>
      <c r="V228" s="111">
        <v>299.15170000000001</v>
      </c>
      <c r="W228" s="111">
        <f t="shared" si="64"/>
        <v>2520053.9208</v>
      </c>
      <c r="X228" s="97" t="s">
        <v>452</v>
      </c>
      <c r="AH228" s="97">
        <v>208</v>
      </c>
      <c r="AI228" s="111" t="s">
        <v>5311</v>
      </c>
      <c r="AJ228" s="111">
        <v>-130382924</v>
      </c>
      <c r="AK228" s="97">
        <v>0</v>
      </c>
      <c r="AL228" s="20">
        <f t="shared" si="71"/>
        <v>246</v>
      </c>
      <c r="AM228" s="115">
        <f t="shared" si="72"/>
        <v>-32074199304</v>
      </c>
      <c r="AN228" s="20" t="s">
        <v>5441</v>
      </c>
      <c r="AR228" t="s">
        <v>25</v>
      </c>
    </row>
    <row r="229" spans="4:45">
      <c r="D229" s="94"/>
      <c r="E229" s="94"/>
      <c r="F229" s="94"/>
      <c r="G229" s="210" t="s">
        <v>5669</v>
      </c>
      <c r="H229" s="111">
        <v>3577366.94</v>
      </c>
      <c r="P229" s="112"/>
      <c r="Q229" s="19"/>
      <c r="R229" s="19"/>
      <c r="S229" s="115"/>
      <c r="T229" s="210" t="s">
        <v>4842</v>
      </c>
      <c r="U229" s="210">
        <v>15943</v>
      </c>
      <c r="V229" s="111">
        <v>307.34415000000001</v>
      </c>
      <c r="W229" s="111">
        <f t="shared" si="64"/>
        <v>4899987.78345</v>
      </c>
      <c r="X229" s="97" t="s">
        <v>452</v>
      </c>
      <c r="AH229" s="97">
        <v>209</v>
      </c>
      <c r="AI229" s="111" t="s">
        <v>5311</v>
      </c>
      <c r="AJ229" s="111">
        <v>125000000</v>
      </c>
      <c r="AK229" s="97">
        <v>1</v>
      </c>
      <c r="AL229" s="20">
        <f t="shared" si="71"/>
        <v>246</v>
      </c>
      <c r="AM229" s="115">
        <f t="shared" si="72"/>
        <v>30750000000</v>
      </c>
      <c r="AN229" s="20"/>
      <c r="AR229" t="s">
        <v>25</v>
      </c>
    </row>
    <row r="230" spans="4:45">
      <c r="D230" s="94"/>
      <c r="E230" s="94"/>
      <c r="F230" s="94"/>
      <c r="G230" s="210" t="s">
        <v>5671</v>
      </c>
      <c r="H230" s="111">
        <v>21239029.173567999</v>
      </c>
      <c r="J230" t="s">
        <v>25</v>
      </c>
      <c r="P230" s="112"/>
      <c r="Q230" s="210" t="s">
        <v>25</v>
      </c>
      <c r="R230" s="210"/>
      <c r="S230" s="111"/>
      <c r="T230" s="210" t="s">
        <v>4860</v>
      </c>
      <c r="U230" s="210">
        <v>3741</v>
      </c>
      <c r="V230" s="111">
        <v>307.34415000000001</v>
      </c>
      <c r="W230" s="111">
        <f t="shared" si="64"/>
        <v>1149774.4651500001</v>
      </c>
      <c r="X230" s="97" t="s">
        <v>452</v>
      </c>
      <c r="Z230" t="s">
        <v>25</v>
      </c>
      <c r="AH230" s="97">
        <v>210</v>
      </c>
      <c r="AI230" s="111" t="s">
        <v>5440</v>
      </c>
      <c r="AJ230" s="111">
        <v>7200000</v>
      </c>
      <c r="AK230" s="97">
        <v>15</v>
      </c>
      <c r="AL230" s="20">
        <f t="shared" si="71"/>
        <v>245</v>
      </c>
      <c r="AM230" s="115">
        <f t="shared" si="72"/>
        <v>1764000000</v>
      </c>
      <c r="AN230" s="20"/>
      <c r="AQ230" t="s">
        <v>25</v>
      </c>
      <c r="AS230" t="s">
        <v>25</v>
      </c>
    </row>
    <row r="231" spans="4:45">
      <c r="D231" s="94"/>
      <c r="E231" s="94"/>
      <c r="F231" s="94"/>
      <c r="G231" s="210" t="s">
        <v>5675</v>
      </c>
      <c r="H231" s="111">
        <v>242957252.40163299</v>
      </c>
      <c r="Q231" s="210"/>
      <c r="R231" s="210"/>
      <c r="S231" s="111">
        <f>SUM(S189:S230)</f>
        <v>116726068.78092602</v>
      </c>
      <c r="T231" s="210" t="s">
        <v>4865</v>
      </c>
      <c r="U231" s="210">
        <v>-6207</v>
      </c>
      <c r="V231" s="111">
        <v>322.214</v>
      </c>
      <c r="W231" s="111">
        <f t="shared" si="64"/>
        <v>-1999982.298</v>
      </c>
      <c r="X231" s="97" t="s">
        <v>744</v>
      </c>
      <c r="AH231" s="97">
        <v>211</v>
      </c>
      <c r="AI231" s="111" t="s">
        <v>5461</v>
      </c>
      <c r="AJ231" s="111">
        <v>2050000</v>
      </c>
      <c r="AK231" s="97">
        <v>7</v>
      </c>
      <c r="AL231" s="20">
        <f t="shared" si="71"/>
        <v>230</v>
      </c>
      <c r="AM231" s="115">
        <f t="shared" si="72"/>
        <v>471500000</v>
      </c>
      <c r="AN231" s="20"/>
      <c r="AR231" t="s">
        <v>25</v>
      </c>
      <c r="AS231" t="s">
        <v>25</v>
      </c>
    </row>
    <row r="232" spans="4:45">
      <c r="D232" s="94"/>
      <c r="E232" s="94"/>
      <c r="F232" s="94"/>
      <c r="G232" s="210" t="s">
        <v>5679</v>
      </c>
      <c r="H232" s="111">
        <v>7357181.2750800001</v>
      </c>
      <c r="J232" t="s">
        <v>25</v>
      </c>
      <c r="Q232" s="41"/>
      <c r="R232" s="210"/>
      <c r="S232" s="210" t="s">
        <v>6</v>
      </c>
      <c r="T232" s="210" t="s">
        <v>4865</v>
      </c>
      <c r="U232" s="210">
        <v>6207</v>
      </c>
      <c r="V232" s="111">
        <v>322.214</v>
      </c>
      <c r="W232" s="111">
        <f t="shared" si="64"/>
        <v>1999982.298</v>
      </c>
      <c r="X232" s="97" t="s">
        <v>4409</v>
      </c>
      <c r="AH232" s="97">
        <v>212</v>
      </c>
      <c r="AI232" s="111" t="s">
        <v>5482</v>
      </c>
      <c r="AJ232" s="111">
        <v>50000000</v>
      </c>
      <c r="AK232" s="97">
        <v>24</v>
      </c>
      <c r="AL232" s="20">
        <f t="shared" si="71"/>
        <v>223</v>
      </c>
      <c r="AM232" s="115">
        <f t="shared" si="72"/>
        <v>11150000000</v>
      </c>
      <c r="AN232" s="20" t="s">
        <v>4686</v>
      </c>
    </row>
    <row r="233" spans="4:45">
      <c r="D233" s="94"/>
      <c r="E233" s="94"/>
      <c r="G233" s="210" t="s">
        <v>5681</v>
      </c>
      <c r="H233" s="111">
        <v>14951411.942400001</v>
      </c>
      <c r="Q233" s="94"/>
      <c r="T233" s="210" t="s">
        <v>4814</v>
      </c>
      <c r="U233" s="210">
        <v>776</v>
      </c>
      <c r="V233" s="111">
        <v>322.214</v>
      </c>
      <c r="W233" s="111">
        <f t="shared" si="64"/>
        <v>250038.06400000001</v>
      </c>
      <c r="X233" s="97" t="s">
        <v>452</v>
      </c>
      <c r="AH233" s="97">
        <v>213</v>
      </c>
      <c r="AI233" s="111" t="s">
        <v>5523</v>
      </c>
      <c r="AJ233" s="111">
        <v>-58196600</v>
      </c>
      <c r="AK233" s="97">
        <v>22</v>
      </c>
      <c r="AL233" s="20">
        <f t="shared" si="71"/>
        <v>199</v>
      </c>
      <c r="AM233" s="115">
        <f t="shared" si="72"/>
        <v>-11581123400</v>
      </c>
      <c r="AN233" s="20" t="s">
        <v>4874</v>
      </c>
    </row>
    <row r="234" spans="4:45">
      <c r="G234" s="210" t="s">
        <v>5685</v>
      </c>
      <c r="H234" s="111">
        <v>47928209.377011999</v>
      </c>
      <c r="Q234" s="94" t="s">
        <v>25</v>
      </c>
      <c r="R234" s="94" t="s">
        <v>25</v>
      </c>
      <c r="T234" s="210" t="s">
        <v>4888</v>
      </c>
      <c r="U234" s="210">
        <v>1524</v>
      </c>
      <c r="V234" s="111">
        <v>314.95999999999998</v>
      </c>
      <c r="W234" s="111">
        <f t="shared" si="64"/>
        <v>479999.04</v>
      </c>
      <c r="X234" s="97" t="s">
        <v>1071</v>
      </c>
      <c r="AH234" s="97">
        <v>214</v>
      </c>
      <c r="AI234" s="111" t="s">
        <v>5565</v>
      </c>
      <c r="AJ234" s="111">
        <v>25000</v>
      </c>
      <c r="AK234" s="97">
        <v>8</v>
      </c>
      <c r="AL234" s="20">
        <f t="shared" si="71"/>
        <v>177</v>
      </c>
      <c r="AM234" s="115">
        <f t="shared" si="72"/>
        <v>4425000</v>
      </c>
      <c r="AN234" s="20"/>
    </row>
    <row r="235" spans="4:45">
      <c r="G235" s="210" t="s">
        <v>5687</v>
      </c>
      <c r="H235" s="111">
        <v>2281595.69937</v>
      </c>
      <c r="J235" t="s">
        <v>25</v>
      </c>
      <c r="Q235" s="94" t="s">
        <v>25</v>
      </c>
      <c r="R235" s="94" t="s">
        <v>25</v>
      </c>
      <c r="S235" t="s">
        <v>25</v>
      </c>
      <c r="T235" s="210" t="s">
        <v>4895</v>
      </c>
      <c r="U235" s="210">
        <v>4435</v>
      </c>
      <c r="V235" s="111">
        <v>316.4375</v>
      </c>
      <c r="W235" s="111">
        <f t="shared" si="64"/>
        <v>1403400.3125</v>
      </c>
      <c r="X235" s="97" t="s">
        <v>452</v>
      </c>
      <c r="AH235" s="97">
        <v>215</v>
      </c>
      <c r="AI235" s="111" t="s">
        <v>5586</v>
      </c>
      <c r="AJ235" s="111">
        <v>70000</v>
      </c>
      <c r="AK235" s="97">
        <v>6</v>
      </c>
      <c r="AL235" s="20">
        <f t="shared" si="71"/>
        <v>169</v>
      </c>
      <c r="AM235" s="115">
        <f t="shared" si="72"/>
        <v>11830000</v>
      </c>
      <c r="AN235" s="20"/>
    </row>
    <row r="236" spans="4:45">
      <c r="G236" s="210" t="s">
        <v>5689</v>
      </c>
      <c r="H236" s="111">
        <v>2964916.035069</v>
      </c>
      <c r="S236" t="s">
        <v>25</v>
      </c>
      <c r="T236" s="210" t="s">
        <v>4898</v>
      </c>
      <c r="U236" s="210">
        <v>624</v>
      </c>
      <c r="V236" s="111">
        <v>320.5</v>
      </c>
      <c r="W236" s="111">
        <f t="shared" si="64"/>
        <v>199992</v>
      </c>
      <c r="X236" s="97" t="s">
        <v>452</v>
      </c>
      <c r="AH236" s="97">
        <v>216</v>
      </c>
      <c r="AI236" s="111" t="s">
        <v>5591</v>
      </c>
      <c r="AJ236" s="111">
        <v>70000</v>
      </c>
      <c r="AK236" s="97">
        <v>1</v>
      </c>
      <c r="AL236" s="20">
        <f t="shared" si="71"/>
        <v>163</v>
      </c>
      <c r="AM236" s="115">
        <f t="shared" si="72"/>
        <v>11410000</v>
      </c>
      <c r="AN236" s="20"/>
      <c r="AR236" t="s">
        <v>25</v>
      </c>
    </row>
    <row r="237" spans="4:45">
      <c r="G237" s="210" t="s">
        <v>5690</v>
      </c>
      <c r="H237" s="111">
        <v>6460549.4269619994</v>
      </c>
      <c r="K237" t="s">
        <v>25</v>
      </c>
      <c r="Q237" s="97" t="s">
        <v>744</v>
      </c>
      <c r="R237" s="97"/>
      <c r="S237" t="s">
        <v>25</v>
      </c>
      <c r="T237" s="210" t="s">
        <v>4903</v>
      </c>
      <c r="U237" s="210">
        <v>1086</v>
      </c>
      <c r="V237" s="111">
        <v>317.55</v>
      </c>
      <c r="W237" s="111">
        <f t="shared" si="64"/>
        <v>344859.3</v>
      </c>
      <c r="X237" s="97" t="s">
        <v>452</v>
      </c>
      <c r="AH237" s="97">
        <v>217</v>
      </c>
      <c r="AI237" s="111" t="s">
        <v>5580</v>
      </c>
      <c r="AJ237" s="111">
        <v>150000</v>
      </c>
      <c r="AK237" s="97">
        <v>0</v>
      </c>
      <c r="AL237" s="20">
        <f t="shared" si="71"/>
        <v>162</v>
      </c>
      <c r="AM237" s="115">
        <f t="shared" si="72"/>
        <v>24300000</v>
      </c>
      <c r="AN237" s="20"/>
      <c r="AQ237" t="s">
        <v>25</v>
      </c>
      <c r="AS237" t="s">
        <v>25</v>
      </c>
    </row>
    <row r="238" spans="4:45">
      <c r="G238" s="210" t="s">
        <v>5692</v>
      </c>
      <c r="H238" s="111">
        <v>5212319.8968359996</v>
      </c>
      <c r="Q238" s="97" t="s">
        <v>4402</v>
      </c>
      <c r="R238" s="93">
        <v>172908000</v>
      </c>
      <c r="T238" s="210" t="s">
        <v>4908</v>
      </c>
      <c r="U238" s="210">
        <v>2820</v>
      </c>
      <c r="V238" s="111">
        <v>319.1096</v>
      </c>
      <c r="W238" s="111">
        <f t="shared" si="64"/>
        <v>899889.07200000004</v>
      </c>
      <c r="X238" s="97" t="s">
        <v>452</v>
      </c>
      <c r="AH238" s="97">
        <v>218</v>
      </c>
      <c r="AI238" s="111" t="s">
        <v>5580</v>
      </c>
      <c r="AJ238" s="111">
        <v>-95599450</v>
      </c>
      <c r="AK238" s="97">
        <v>7</v>
      </c>
      <c r="AL238" s="20">
        <f t="shared" si="71"/>
        <v>162</v>
      </c>
      <c r="AM238" s="115">
        <f t="shared" si="72"/>
        <v>-15487110900</v>
      </c>
      <c r="AN238" s="20" t="s">
        <v>5594</v>
      </c>
      <c r="AR238" t="s">
        <v>25</v>
      </c>
    </row>
    <row r="239" spans="4:45">
      <c r="G239" s="210" t="s">
        <v>5695</v>
      </c>
      <c r="H239" s="111">
        <v>4524496.4792809999</v>
      </c>
      <c r="Q239" s="97" t="s">
        <v>4435</v>
      </c>
      <c r="R239" s="93">
        <v>1400000</v>
      </c>
      <c r="T239" s="210" t="s">
        <v>4911</v>
      </c>
      <c r="U239" s="210">
        <v>1145</v>
      </c>
      <c r="V239" s="111">
        <v>325.44</v>
      </c>
      <c r="W239" s="111">
        <f t="shared" si="64"/>
        <v>372628.8</v>
      </c>
      <c r="X239" s="97" t="s">
        <v>452</v>
      </c>
      <c r="Y239" t="s">
        <v>25</v>
      </c>
      <c r="AH239" s="97">
        <v>219</v>
      </c>
      <c r="AI239" s="111" t="s">
        <v>5602</v>
      </c>
      <c r="AJ239" s="111">
        <v>200000</v>
      </c>
      <c r="AK239" s="97">
        <v>7</v>
      </c>
      <c r="AL239" s="20">
        <f t="shared" si="71"/>
        <v>155</v>
      </c>
      <c r="AM239" s="115">
        <f t="shared" si="72"/>
        <v>31000000</v>
      </c>
      <c r="AN239" s="20"/>
      <c r="AR239" t="s">
        <v>25</v>
      </c>
    </row>
    <row r="240" spans="4:45">
      <c r="G240" s="210" t="s">
        <v>5697</v>
      </c>
      <c r="H240" s="111">
        <v>22866040.240959998</v>
      </c>
      <c r="Q240" s="97" t="s">
        <v>4208</v>
      </c>
      <c r="R240" s="93">
        <v>247393</v>
      </c>
      <c r="S240" t="s">
        <v>25</v>
      </c>
      <c r="T240" s="210" t="s">
        <v>4919</v>
      </c>
      <c r="U240" s="210">
        <v>20153</v>
      </c>
      <c r="V240" s="111">
        <v>322</v>
      </c>
      <c r="W240" s="111">
        <f t="shared" si="64"/>
        <v>6489266</v>
      </c>
      <c r="X240" s="97" t="s">
        <v>452</v>
      </c>
      <c r="AH240" s="97">
        <v>220</v>
      </c>
      <c r="AI240" s="111" t="s">
        <v>5607</v>
      </c>
      <c r="AJ240" s="111">
        <v>150000</v>
      </c>
      <c r="AK240" s="97">
        <v>5</v>
      </c>
      <c r="AL240" s="20">
        <f t="shared" si="71"/>
        <v>148</v>
      </c>
      <c r="AM240" s="115">
        <f t="shared" si="72"/>
        <v>22200000</v>
      </c>
      <c r="AN240" s="20"/>
    </row>
    <row r="241" spans="7:46">
      <c r="G241" s="210" t="s">
        <v>5699</v>
      </c>
      <c r="H241" s="111">
        <v>15359304.269892</v>
      </c>
      <c r="P241" t="s">
        <v>25</v>
      </c>
      <c r="Q241" s="97" t="s">
        <v>4207</v>
      </c>
      <c r="R241" s="93">
        <v>6780000</v>
      </c>
      <c r="T241" s="210" t="s">
        <v>4929</v>
      </c>
      <c r="U241" s="210">
        <v>93720</v>
      </c>
      <c r="V241" s="111">
        <v>325.435</v>
      </c>
      <c r="W241" s="111">
        <f t="shared" si="64"/>
        <v>30499768.199999999</v>
      </c>
      <c r="X241" s="97" t="s">
        <v>1071</v>
      </c>
      <c r="AH241" s="97">
        <v>221</v>
      </c>
      <c r="AI241" s="111" t="s">
        <v>5611</v>
      </c>
      <c r="AJ241" s="111">
        <v>310000</v>
      </c>
      <c r="AK241" s="97">
        <v>31</v>
      </c>
      <c r="AL241" s="20">
        <f t="shared" si="71"/>
        <v>143</v>
      </c>
      <c r="AM241" s="115">
        <f t="shared" si="72"/>
        <v>44330000</v>
      </c>
      <c r="AN241" s="20"/>
      <c r="AR241" t="s">
        <v>25</v>
      </c>
    </row>
    <row r="242" spans="7:46">
      <c r="G242" s="210" t="s">
        <v>5701</v>
      </c>
      <c r="H242" s="111">
        <v>2868508.1846330003</v>
      </c>
      <c r="Q242" s="97" t="s">
        <v>4536</v>
      </c>
      <c r="R242" s="93">
        <v>-4000000</v>
      </c>
      <c r="T242" s="210" t="s">
        <v>4929</v>
      </c>
      <c r="U242" s="210">
        <v>20895</v>
      </c>
      <c r="V242" s="111">
        <v>325.435</v>
      </c>
      <c r="W242" s="111">
        <f t="shared" si="64"/>
        <v>6799964.3250000002</v>
      </c>
      <c r="X242" s="97" t="s">
        <v>744</v>
      </c>
      <c r="AH242" s="97">
        <v>222</v>
      </c>
      <c r="AI242" s="111" t="s">
        <v>5647</v>
      </c>
      <c r="AJ242" s="111">
        <v>4200000</v>
      </c>
      <c r="AK242" s="97">
        <v>53</v>
      </c>
      <c r="AL242" s="20">
        <f t="shared" si="71"/>
        <v>112</v>
      </c>
      <c r="AM242" s="115">
        <f t="shared" si="72"/>
        <v>470400000</v>
      </c>
      <c r="AN242" s="20"/>
      <c r="AT242" s="94" t="s">
        <v>25</v>
      </c>
    </row>
    <row r="243" spans="7:46">
      <c r="G243" s="210" t="s">
        <v>5702</v>
      </c>
      <c r="H243" s="111">
        <v>17450393.011856001</v>
      </c>
      <c r="Q243" s="97" t="s">
        <v>4562</v>
      </c>
      <c r="R243" s="93">
        <v>16727037</v>
      </c>
      <c r="T243" s="210" t="s">
        <v>4938</v>
      </c>
      <c r="U243" s="210">
        <v>2611</v>
      </c>
      <c r="V243" s="111">
        <v>325.435</v>
      </c>
      <c r="W243" s="111">
        <f t="shared" si="64"/>
        <v>849710.78500000003</v>
      </c>
      <c r="X243" s="97" t="s">
        <v>744</v>
      </c>
      <c r="AA243" t="s">
        <v>25</v>
      </c>
      <c r="AH243" s="97">
        <v>223</v>
      </c>
      <c r="AI243" s="111" t="s">
        <v>5719</v>
      </c>
      <c r="AJ243" s="111">
        <v>260000000</v>
      </c>
      <c r="AK243" s="97">
        <v>22</v>
      </c>
      <c r="AL243" s="20">
        <f t="shared" si="71"/>
        <v>59</v>
      </c>
      <c r="AM243" s="115">
        <f t="shared" si="72"/>
        <v>15340000000</v>
      </c>
      <c r="AN243" s="20" t="s">
        <v>5721</v>
      </c>
    </row>
    <row r="244" spans="7:46">
      <c r="G244" s="210" t="s">
        <v>5703</v>
      </c>
      <c r="H244" s="111">
        <v>31388943.254850004</v>
      </c>
      <c r="Q244" s="97" t="s">
        <v>4567</v>
      </c>
      <c r="R244" s="93">
        <v>46460683</v>
      </c>
      <c r="S244" t="s">
        <v>25</v>
      </c>
      <c r="T244" s="210" t="s">
        <v>4946</v>
      </c>
      <c r="U244" s="210">
        <v>6750</v>
      </c>
      <c r="V244" s="111">
        <v>339.3</v>
      </c>
      <c r="W244" s="111">
        <f t="shared" si="64"/>
        <v>2290275</v>
      </c>
      <c r="X244" s="97" t="s">
        <v>744</v>
      </c>
      <c r="AH244" s="97">
        <v>224</v>
      </c>
      <c r="AI244" s="111" t="s">
        <v>5751</v>
      </c>
      <c r="AJ244" s="111">
        <v>20000</v>
      </c>
      <c r="AK244" s="97">
        <v>7</v>
      </c>
      <c r="AL244" s="20">
        <f t="shared" si="71"/>
        <v>37</v>
      </c>
      <c r="AM244" s="115">
        <f t="shared" si="72"/>
        <v>740000</v>
      </c>
      <c r="AN244" s="20"/>
      <c r="AP244" t="s">
        <v>25</v>
      </c>
    </row>
    <row r="245" spans="7:46">
      <c r="G245" s="210" t="s">
        <v>5704</v>
      </c>
      <c r="H245" s="111">
        <v>30912095.373174001</v>
      </c>
      <c r="J245" t="s">
        <v>25</v>
      </c>
      <c r="Q245" s="97" t="s">
        <v>4568</v>
      </c>
      <c r="R245" s="93">
        <v>19663646</v>
      </c>
      <c r="T245" s="210" t="s">
        <v>4954</v>
      </c>
      <c r="U245" s="210">
        <v>1850</v>
      </c>
      <c r="V245" s="111">
        <v>334.10050000000001</v>
      </c>
      <c r="W245" s="111">
        <f t="shared" si="64"/>
        <v>618085.92500000005</v>
      </c>
      <c r="X245" s="97" t="s">
        <v>452</v>
      </c>
      <c r="Y245" t="s">
        <v>25</v>
      </c>
      <c r="AH245" s="97">
        <v>225</v>
      </c>
      <c r="AI245" s="111" t="s">
        <v>5761</v>
      </c>
      <c r="AJ245" s="111">
        <v>70000</v>
      </c>
      <c r="AK245" s="97">
        <v>1</v>
      </c>
      <c r="AL245" s="20">
        <f t="shared" si="71"/>
        <v>30</v>
      </c>
      <c r="AM245" s="115">
        <f t="shared" si="72"/>
        <v>2100000</v>
      </c>
      <c r="AN245" s="20"/>
    </row>
    <row r="246" spans="7:46">
      <c r="G246" s="210" t="s">
        <v>5706</v>
      </c>
      <c r="H246" s="111">
        <v>19602926.115093999</v>
      </c>
      <c r="J246" t="s">
        <v>25</v>
      </c>
      <c r="Q246" s="97" t="s">
        <v>4591</v>
      </c>
      <c r="R246" s="93">
        <v>4374525</v>
      </c>
      <c r="T246" s="210" t="s">
        <v>4954</v>
      </c>
      <c r="U246" s="210">
        <v>-1194</v>
      </c>
      <c r="V246" s="111">
        <v>335</v>
      </c>
      <c r="W246" s="111">
        <f t="shared" si="64"/>
        <v>-399990</v>
      </c>
      <c r="X246" s="97" t="s">
        <v>4409</v>
      </c>
      <c r="Y246" t="s">
        <v>25</v>
      </c>
      <c r="AH246" s="97">
        <v>226</v>
      </c>
      <c r="AI246" s="111" t="s">
        <v>5768</v>
      </c>
      <c r="AJ246" s="111">
        <v>330000</v>
      </c>
      <c r="AK246" s="97">
        <v>1</v>
      </c>
      <c r="AL246" s="20">
        <f t="shared" si="71"/>
        <v>29</v>
      </c>
      <c r="AM246" s="115">
        <f t="shared" si="72"/>
        <v>9570000</v>
      </c>
      <c r="AN246" s="20"/>
    </row>
    <row r="247" spans="7:46">
      <c r="G247" s="210" t="s">
        <v>5710</v>
      </c>
      <c r="H247" s="111">
        <v>34458590.308710001</v>
      </c>
      <c r="P247" t="s">
        <v>25</v>
      </c>
      <c r="Q247" s="97" t="s">
        <v>4602</v>
      </c>
      <c r="R247" s="93">
        <v>6550580</v>
      </c>
      <c r="T247" s="210" t="s">
        <v>4954</v>
      </c>
      <c r="U247" s="210">
        <v>1194</v>
      </c>
      <c r="V247" s="111">
        <v>335</v>
      </c>
      <c r="W247" s="111">
        <f t="shared" si="64"/>
        <v>399990</v>
      </c>
      <c r="X247" s="97" t="s">
        <v>744</v>
      </c>
      <c r="AH247" s="97">
        <v>227</v>
      </c>
      <c r="AI247" s="111" t="s">
        <v>5880</v>
      </c>
      <c r="AJ247" s="111">
        <v>33833075</v>
      </c>
      <c r="AK247" s="97">
        <v>18</v>
      </c>
      <c r="AL247" s="20">
        <f t="shared" si="71"/>
        <v>28</v>
      </c>
      <c r="AM247" s="115">
        <f t="shared" si="72"/>
        <v>947326100</v>
      </c>
      <c r="AN247" s="20" t="s">
        <v>5885</v>
      </c>
    </row>
    <row r="248" spans="7:46">
      <c r="G248" s="210" t="s">
        <v>5713</v>
      </c>
      <c r="H248" s="111">
        <v>21697868.203256</v>
      </c>
      <c r="Q248" s="97" t="s">
        <v>4604</v>
      </c>
      <c r="R248" s="93">
        <v>6650895</v>
      </c>
      <c r="T248" s="210" t="s">
        <v>4961</v>
      </c>
      <c r="U248" s="210">
        <v>433</v>
      </c>
      <c r="V248" s="111">
        <v>345.68</v>
      </c>
      <c r="W248" s="111">
        <f t="shared" si="64"/>
        <v>149679.44</v>
      </c>
      <c r="X248" s="97" t="s">
        <v>744</v>
      </c>
      <c r="AH248" s="97">
        <v>228</v>
      </c>
      <c r="AI248" s="111" t="s">
        <v>5899</v>
      </c>
      <c r="AJ248" s="111">
        <v>150000</v>
      </c>
      <c r="AK248" s="97">
        <v>10</v>
      </c>
      <c r="AL248" s="20">
        <f>AL261+AK248</f>
        <v>10</v>
      </c>
      <c r="AM248" s="115"/>
      <c r="AN248" s="20"/>
    </row>
    <row r="249" spans="7:46">
      <c r="G249" s="210" t="s">
        <v>5715</v>
      </c>
      <c r="H249" s="111">
        <v>25340079.252110001</v>
      </c>
      <c r="Q249" s="97" t="s">
        <v>4621</v>
      </c>
      <c r="R249" s="93">
        <v>2145814</v>
      </c>
      <c r="T249" s="210" t="s">
        <v>4965</v>
      </c>
      <c r="U249" s="210">
        <v>55459</v>
      </c>
      <c r="V249" s="111">
        <v>362.51978000000003</v>
      </c>
      <c r="W249" s="111">
        <f t="shared" si="64"/>
        <v>20104984.479020003</v>
      </c>
      <c r="X249" s="97" t="s">
        <v>452</v>
      </c>
      <c r="AH249" s="97">
        <v>229</v>
      </c>
      <c r="AI249" s="111" t="s">
        <v>5928</v>
      </c>
      <c r="AJ249" s="111">
        <v>-341847876.93843603</v>
      </c>
      <c r="AK249" s="97">
        <v>1</v>
      </c>
      <c r="AL249" s="20"/>
      <c r="AM249" s="115"/>
      <c r="AN249" s="20" t="s">
        <v>4746</v>
      </c>
      <c r="AP249" t="s">
        <v>25</v>
      </c>
    </row>
    <row r="250" spans="7:46" ht="20.25" customHeight="1">
      <c r="G250" s="210" t="s">
        <v>5716</v>
      </c>
      <c r="H250" s="111">
        <v>14780983.183526</v>
      </c>
      <c r="O250" t="s">
        <v>25</v>
      </c>
      <c r="Q250" s="97" t="s">
        <v>4632</v>
      </c>
      <c r="R250" s="93">
        <v>4369730</v>
      </c>
      <c r="T250" s="210" t="s">
        <v>4969</v>
      </c>
      <c r="U250" s="210">
        <v>-57212</v>
      </c>
      <c r="V250" s="111">
        <v>368.45400000000001</v>
      </c>
      <c r="W250" s="111">
        <f t="shared" si="64"/>
        <v>-21079990.248</v>
      </c>
      <c r="X250" s="97" t="s">
        <v>452</v>
      </c>
      <c r="AH250" s="97">
        <v>230</v>
      </c>
      <c r="AI250" s="111" t="s">
        <v>5943</v>
      </c>
      <c r="AJ250" s="111">
        <v>100000000</v>
      </c>
      <c r="AK250" s="97">
        <v>0</v>
      </c>
      <c r="AL250" s="20"/>
      <c r="AM250" s="115"/>
      <c r="AN250" s="20" t="s">
        <v>5944</v>
      </c>
    </row>
    <row r="251" spans="7:46" ht="30">
      <c r="G251" s="210" t="s">
        <v>5719</v>
      </c>
      <c r="H251" s="111">
        <v>17804396.448481999</v>
      </c>
      <c r="Q251" s="97" t="s">
        <v>4634</v>
      </c>
      <c r="R251" s="93">
        <v>8739459</v>
      </c>
      <c r="S251" t="s">
        <v>25</v>
      </c>
      <c r="T251" s="210" t="s">
        <v>4970</v>
      </c>
      <c r="U251" s="210">
        <v>-15881</v>
      </c>
      <c r="V251" s="111">
        <v>374.61599999999999</v>
      </c>
      <c r="W251" s="111">
        <f t="shared" si="64"/>
        <v>-5949276.6959999995</v>
      </c>
      <c r="X251" s="97" t="s">
        <v>452</v>
      </c>
      <c r="AH251" s="97">
        <v>231</v>
      </c>
      <c r="AI251" s="111" t="s">
        <v>5943</v>
      </c>
      <c r="AJ251" s="111">
        <v>-100000000</v>
      </c>
      <c r="AK251" s="97">
        <v>1</v>
      </c>
      <c r="AL251" s="20"/>
      <c r="AM251" s="115"/>
      <c r="AN251" s="273" t="s">
        <v>5945</v>
      </c>
    </row>
    <row r="252" spans="7:46">
      <c r="G252" s="210" t="s">
        <v>5723</v>
      </c>
      <c r="H252" s="111">
        <v>11538335.631417999</v>
      </c>
      <c r="Q252" s="97" t="s">
        <v>4643</v>
      </c>
      <c r="R252" s="93">
        <v>6667654</v>
      </c>
      <c r="T252" s="210" t="s">
        <v>4976</v>
      </c>
      <c r="U252" s="210">
        <v>-41289</v>
      </c>
      <c r="V252" s="111">
        <v>372.27</v>
      </c>
      <c r="W252" s="111">
        <f t="shared" si="64"/>
        <v>-15370656.029999999</v>
      </c>
      <c r="X252" s="97" t="s">
        <v>452</v>
      </c>
      <c r="AH252" s="97">
        <v>232</v>
      </c>
      <c r="AI252" s="111" t="s">
        <v>5946</v>
      </c>
      <c r="AJ252" s="111">
        <v>90000000</v>
      </c>
      <c r="AK252" s="97">
        <v>0</v>
      </c>
      <c r="AL252" s="20"/>
      <c r="AM252" s="115"/>
      <c r="AN252" s="20"/>
    </row>
    <row r="253" spans="7:46" ht="30">
      <c r="G253" s="210" t="s">
        <v>5724</v>
      </c>
      <c r="H253" s="111">
        <v>12429517.767776001</v>
      </c>
      <c r="O253" t="s">
        <v>25</v>
      </c>
      <c r="Q253" s="97" t="s">
        <v>4651</v>
      </c>
      <c r="R253" s="93">
        <v>8981245</v>
      </c>
      <c r="T253" s="210" t="s">
        <v>4982</v>
      </c>
      <c r="U253" s="210">
        <v>13563</v>
      </c>
      <c r="V253" s="111">
        <v>365.69799999999998</v>
      </c>
      <c r="W253" s="111">
        <f t="shared" si="64"/>
        <v>4959961.9739999995</v>
      </c>
      <c r="X253" s="97" t="s">
        <v>452</v>
      </c>
      <c r="AH253" s="97">
        <v>233</v>
      </c>
      <c r="AI253" s="111" t="s">
        <v>5946</v>
      </c>
      <c r="AJ253" s="111">
        <v>-90000000</v>
      </c>
      <c r="AK253" s="97">
        <v>1</v>
      </c>
      <c r="AL253" s="20"/>
      <c r="AM253" s="115"/>
      <c r="AN253" s="273" t="s">
        <v>5947</v>
      </c>
      <c r="AQ253" t="s">
        <v>25</v>
      </c>
      <c r="AS253" t="s">
        <v>25</v>
      </c>
    </row>
    <row r="254" spans="7:46">
      <c r="G254" s="210" t="s">
        <v>5734</v>
      </c>
      <c r="H254" s="111">
        <v>5031176.5087869996</v>
      </c>
      <c r="P254" t="s">
        <v>25</v>
      </c>
      <c r="Q254" s="97" t="s">
        <v>4655</v>
      </c>
      <c r="R254" s="93">
        <v>9181756</v>
      </c>
      <c r="T254" s="210" t="s">
        <v>4982</v>
      </c>
      <c r="U254" s="210">
        <v>27344</v>
      </c>
      <c r="V254" s="111">
        <v>365.69799999999998</v>
      </c>
      <c r="W254" s="111">
        <f t="shared" si="64"/>
        <v>9999646.1119999997</v>
      </c>
      <c r="X254" s="97" t="s">
        <v>452</v>
      </c>
      <c r="AH254" s="97">
        <v>234</v>
      </c>
      <c r="AI254" s="111" t="s">
        <v>5948</v>
      </c>
      <c r="AJ254" s="111">
        <v>30000000</v>
      </c>
      <c r="AK254" s="97">
        <v>0</v>
      </c>
      <c r="AL254" s="20"/>
      <c r="AM254" s="115"/>
      <c r="AN254" s="273"/>
    </row>
    <row r="255" spans="7:46" ht="30">
      <c r="G255" s="210" t="s">
        <v>5736</v>
      </c>
      <c r="H255" s="111">
        <v>6822803.9080700008</v>
      </c>
      <c r="Q255" s="97" t="s">
        <v>4658</v>
      </c>
      <c r="R255" s="93">
        <v>11811208</v>
      </c>
      <c r="S255" t="s">
        <v>25</v>
      </c>
      <c r="T255" s="210" t="s">
        <v>4989</v>
      </c>
      <c r="U255" s="210">
        <v>-103145</v>
      </c>
      <c r="V255" s="111">
        <v>393.334</v>
      </c>
      <c r="W255" s="111">
        <f t="shared" si="64"/>
        <v>-40570435.43</v>
      </c>
      <c r="X255" s="36" t="s">
        <v>4994</v>
      </c>
      <c r="AH255" s="97">
        <v>235</v>
      </c>
      <c r="AI255" s="111" t="s">
        <v>5948</v>
      </c>
      <c r="AJ255" s="111">
        <v>-30000000</v>
      </c>
      <c r="AK255" s="97">
        <v>3</v>
      </c>
      <c r="AL255" s="20"/>
      <c r="AM255" s="115"/>
      <c r="AN255" s="273" t="s">
        <v>5949</v>
      </c>
    </row>
    <row r="256" spans="7:46">
      <c r="G256" s="210" t="s">
        <v>5740</v>
      </c>
      <c r="H256" s="111">
        <v>330889.73324399994</v>
      </c>
      <c r="Q256" s="97" t="s">
        <v>4672</v>
      </c>
      <c r="R256" s="93">
        <v>41248054</v>
      </c>
      <c r="S256" t="s">
        <v>25</v>
      </c>
      <c r="T256" s="210" t="s">
        <v>4989</v>
      </c>
      <c r="U256" s="210">
        <v>-369</v>
      </c>
      <c r="V256" s="111">
        <v>393.334</v>
      </c>
      <c r="W256" s="111">
        <f t="shared" si="64"/>
        <v>-145140.24600000001</v>
      </c>
      <c r="X256" s="36" t="s">
        <v>5066</v>
      </c>
      <c r="AH256" s="97">
        <v>236</v>
      </c>
      <c r="AI256" s="111" t="s">
        <v>5966</v>
      </c>
      <c r="AJ256" s="111">
        <v>50000000</v>
      </c>
      <c r="AK256" s="97">
        <v>1</v>
      </c>
      <c r="AL256" s="20"/>
      <c r="AM256" s="115"/>
      <c r="AN256" s="273"/>
    </row>
    <row r="257" spans="7:45" ht="30">
      <c r="G257" s="210" t="s">
        <v>5750</v>
      </c>
      <c r="H257" s="111">
        <v>6610318.1610199995</v>
      </c>
      <c r="K257" t="s">
        <v>25</v>
      </c>
      <c r="P257" t="s">
        <v>25</v>
      </c>
      <c r="Q257" s="97" t="s">
        <v>4679</v>
      </c>
      <c r="R257" s="93">
        <v>37328780</v>
      </c>
      <c r="T257" s="210" t="s">
        <v>4989</v>
      </c>
      <c r="U257" s="210">
        <v>-889</v>
      </c>
      <c r="V257" s="111">
        <v>393.334</v>
      </c>
      <c r="W257" s="111">
        <f t="shared" si="64"/>
        <v>-349673.92599999998</v>
      </c>
      <c r="X257" s="36" t="s">
        <v>5067</v>
      </c>
      <c r="AH257" s="97">
        <v>237</v>
      </c>
      <c r="AI257" s="111" t="s">
        <v>5972</v>
      </c>
      <c r="AJ257" s="111">
        <v>-50000000</v>
      </c>
      <c r="AK257" s="97">
        <v>1</v>
      </c>
      <c r="AL257" s="20"/>
      <c r="AM257" s="115"/>
      <c r="AN257" s="273" t="s">
        <v>5973</v>
      </c>
      <c r="AP257" t="s">
        <v>25</v>
      </c>
    </row>
    <row r="258" spans="7:45">
      <c r="G258" s="210" t="s">
        <v>5751</v>
      </c>
      <c r="H258" s="111">
        <v>710713.17725199996</v>
      </c>
      <c r="Q258" s="97" t="s">
        <v>4758</v>
      </c>
      <c r="R258" s="93">
        <v>-2194100</v>
      </c>
      <c r="T258" s="210" t="s">
        <v>4998</v>
      </c>
      <c r="U258" s="210">
        <v>2546</v>
      </c>
      <c r="V258" s="111">
        <v>393</v>
      </c>
      <c r="W258" s="111">
        <f t="shared" si="64"/>
        <v>1000578</v>
      </c>
      <c r="X258" s="36" t="s">
        <v>452</v>
      </c>
      <c r="AH258" s="97"/>
      <c r="AI258" s="111"/>
      <c r="AJ258" s="111"/>
      <c r="AK258" s="97"/>
      <c r="AL258" s="20"/>
      <c r="AM258" s="115"/>
      <c r="AN258" s="273"/>
    </row>
    <row r="259" spans="7:45" ht="15" customHeight="1">
      <c r="G259" s="210" t="s">
        <v>5753</v>
      </c>
      <c r="H259" s="111">
        <v>81025</v>
      </c>
      <c r="J259" t="s">
        <v>25</v>
      </c>
      <c r="Q259" s="97" t="s">
        <v>4795</v>
      </c>
      <c r="R259" s="93">
        <v>20193916</v>
      </c>
      <c r="T259" s="210" t="s">
        <v>4999</v>
      </c>
      <c r="U259" s="210">
        <v>1034</v>
      </c>
      <c r="V259" s="111">
        <v>386.608</v>
      </c>
      <c r="W259" s="111">
        <f t="shared" si="64"/>
        <v>399752.67200000002</v>
      </c>
      <c r="X259" s="36" t="s">
        <v>452</v>
      </c>
      <c r="AH259" s="97"/>
      <c r="AI259" s="111"/>
      <c r="AJ259" s="111"/>
      <c r="AK259" s="97"/>
      <c r="AL259" s="20"/>
      <c r="AM259" s="115"/>
      <c r="AN259" s="20"/>
    </row>
    <row r="260" spans="7:45">
      <c r="G260" s="210" t="s">
        <v>5756</v>
      </c>
      <c r="H260" s="111">
        <v>219696.613128</v>
      </c>
      <c r="K260" t="s">
        <v>25</v>
      </c>
      <c r="Q260" s="97" t="s">
        <v>4865</v>
      </c>
      <c r="R260" s="93">
        <v>-2000000</v>
      </c>
      <c r="T260" s="210" t="s">
        <v>5006</v>
      </c>
      <c r="U260" s="210">
        <v>300</v>
      </c>
      <c r="V260" s="111">
        <v>400</v>
      </c>
      <c r="W260" s="111">
        <f t="shared" si="64"/>
        <v>120000</v>
      </c>
      <c r="X260" s="36" t="s">
        <v>452</v>
      </c>
      <c r="AH260" s="97"/>
      <c r="AI260" s="111"/>
      <c r="AJ260" s="111"/>
      <c r="AK260" s="97"/>
      <c r="AL260" s="20"/>
      <c r="AM260" s="115"/>
      <c r="AN260" s="20"/>
    </row>
    <row r="261" spans="7:45">
      <c r="G261" s="210" t="s">
        <v>5757</v>
      </c>
      <c r="H261" s="111">
        <v>6035472.4070199998</v>
      </c>
      <c r="P261" t="s">
        <v>25</v>
      </c>
      <c r="Q261" s="97" t="s">
        <v>4929</v>
      </c>
      <c r="R261" s="93">
        <v>6800000</v>
      </c>
      <c r="S261" t="s">
        <v>25</v>
      </c>
      <c r="T261" s="210" t="s">
        <v>5014</v>
      </c>
      <c r="U261" s="210">
        <v>782</v>
      </c>
      <c r="V261" s="111">
        <v>409</v>
      </c>
      <c r="W261" s="111">
        <f t="shared" si="64"/>
        <v>319838</v>
      </c>
      <c r="X261" s="36" t="s">
        <v>744</v>
      </c>
      <c r="AH261" s="97"/>
      <c r="AI261" s="111"/>
      <c r="AJ261" s="111"/>
      <c r="AK261" s="97"/>
      <c r="AL261" s="20">
        <f t="shared" si="71"/>
        <v>0</v>
      </c>
      <c r="AM261" s="115"/>
      <c r="AN261" s="20"/>
      <c r="AS261" t="s">
        <v>25</v>
      </c>
    </row>
    <row r="262" spans="7:45">
      <c r="G262" s="210" t="s">
        <v>5759</v>
      </c>
      <c r="H262" s="111">
        <v>984486.34963200008</v>
      </c>
      <c r="Q262" s="97" t="s">
        <v>4938</v>
      </c>
      <c r="R262" s="93">
        <v>850000</v>
      </c>
      <c r="T262" s="210" t="s">
        <v>5018</v>
      </c>
      <c r="U262" s="210">
        <v>1220</v>
      </c>
      <c r="V262" s="111">
        <v>409.9</v>
      </c>
      <c r="W262" s="111">
        <f t="shared" si="64"/>
        <v>500078</v>
      </c>
      <c r="X262" s="36" t="s">
        <v>744</v>
      </c>
      <c r="AH262" s="97"/>
      <c r="AI262" s="111"/>
      <c r="AJ262" s="111">
        <v>0</v>
      </c>
      <c r="AK262" s="97"/>
      <c r="AL262" s="20">
        <f t="shared" si="71"/>
        <v>0</v>
      </c>
      <c r="AM262" s="115">
        <f t="shared" si="72"/>
        <v>0</v>
      </c>
      <c r="AN262" s="20"/>
    </row>
    <row r="263" spans="7:45" ht="17.25" customHeight="1">
      <c r="G263" s="210" t="s">
        <v>5761</v>
      </c>
      <c r="H263" s="111">
        <v>2143469.938015</v>
      </c>
      <c r="Q263" s="97" t="s">
        <v>4946</v>
      </c>
      <c r="R263" s="93">
        <v>2290500</v>
      </c>
      <c r="T263" s="210" t="s">
        <v>5020</v>
      </c>
      <c r="U263" s="210">
        <v>1285</v>
      </c>
      <c r="V263" s="111">
        <v>388.84</v>
      </c>
      <c r="W263" s="111">
        <f t="shared" si="64"/>
        <v>499659.39999999997</v>
      </c>
      <c r="X263" s="36" t="s">
        <v>452</v>
      </c>
      <c r="AH263" s="97"/>
      <c r="AI263" s="111"/>
      <c r="AJ263" s="111"/>
      <c r="AK263" s="97">
        <v>0</v>
      </c>
      <c r="AL263" s="20">
        <f t="shared" si="71"/>
        <v>0</v>
      </c>
      <c r="AM263" s="115">
        <f t="shared" si="72"/>
        <v>0</v>
      </c>
      <c r="AN263" s="20"/>
      <c r="AS263" t="s">
        <v>25</v>
      </c>
    </row>
    <row r="264" spans="7:45">
      <c r="G264" s="210" t="s">
        <v>5774</v>
      </c>
      <c r="H264" s="111">
        <v>3085460.5177150001</v>
      </c>
      <c r="Q264" s="97" t="s">
        <v>4954</v>
      </c>
      <c r="R264" s="93">
        <v>400000</v>
      </c>
      <c r="S264" t="s">
        <v>25</v>
      </c>
      <c r="T264" s="210" t="s">
        <v>5011</v>
      </c>
      <c r="U264" s="210">
        <v>1924</v>
      </c>
      <c r="V264" s="111">
        <v>386.69600000000003</v>
      </c>
      <c r="W264" s="111">
        <f t="shared" si="64"/>
        <v>744003.10400000005</v>
      </c>
      <c r="X264" s="36" t="s">
        <v>452</v>
      </c>
      <c r="AH264" s="97"/>
      <c r="AI264" s="97"/>
      <c r="AJ264" s="93">
        <f>SUM(AJ20:AJ263)</f>
        <v>438470949.06156397</v>
      </c>
      <c r="AK264" s="97"/>
      <c r="AL264" s="97">
        <v>0</v>
      </c>
      <c r="AM264" s="93">
        <f>SUM(AM20:AM263)</f>
        <v>425139003904</v>
      </c>
      <c r="AN264" s="93">
        <f>AM264*AN267/31</f>
        <v>228573928.32477316</v>
      </c>
    </row>
    <row r="265" spans="7:45">
      <c r="G265" s="210" t="s">
        <v>5776</v>
      </c>
      <c r="H265" s="111">
        <v>8261456.790906</v>
      </c>
      <c r="Q265" s="97" t="s">
        <v>4961</v>
      </c>
      <c r="R265" s="93">
        <v>150000</v>
      </c>
      <c r="T265" s="210" t="s">
        <v>5036</v>
      </c>
      <c r="U265" s="210">
        <v>165</v>
      </c>
      <c r="V265" s="111">
        <v>393.5</v>
      </c>
      <c r="W265" s="111">
        <f t="shared" si="64"/>
        <v>64927.5</v>
      </c>
      <c r="X265" s="36" t="s">
        <v>452</v>
      </c>
      <c r="AH265" s="97"/>
      <c r="AI265" s="97"/>
      <c r="AJ265" s="97" t="s">
        <v>4043</v>
      </c>
      <c r="AK265" s="97"/>
      <c r="AL265" s="97"/>
      <c r="AM265" s="97" t="s">
        <v>284</v>
      </c>
      <c r="AN265" s="97" t="s">
        <v>928</v>
      </c>
    </row>
    <row r="266" spans="7:45" ht="30">
      <c r="G266" s="210" t="s">
        <v>5778</v>
      </c>
      <c r="H266" s="111">
        <v>6572373.7593120001</v>
      </c>
      <c r="J266" t="s">
        <v>25</v>
      </c>
      <c r="Q266" s="97" t="s">
        <v>4989</v>
      </c>
      <c r="R266" s="93">
        <v>-144950</v>
      </c>
      <c r="T266" s="210" t="s">
        <v>5041</v>
      </c>
      <c r="U266" s="210">
        <v>-34859</v>
      </c>
      <c r="V266" s="111">
        <v>403.1585</v>
      </c>
      <c r="W266" s="111">
        <f t="shared" si="64"/>
        <v>-14053702.1515</v>
      </c>
      <c r="X266" s="36" t="s">
        <v>5044</v>
      </c>
      <c r="AH266" s="97"/>
      <c r="AI266" s="97"/>
      <c r="AJ266" s="97"/>
      <c r="AK266" s="97"/>
      <c r="AL266" s="97"/>
      <c r="AM266" s="97"/>
      <c r="AN266" s="97"/>
    </row>
    <row r="267" spans="7:45" ht="20.25" customHeight="1">
      <c r="G267" s="210" t="s">
        <v>5783</v>
      </c>
      <c r="H267" s="111">
        <v>2893243.5730909999</v>
      </c>
      <c r="Q267" s="97" t="s">
        <v>5014</v>
      </c>
      <c r="R267" s="93">
        <v>320000</v>
      </c>
      <c r="T267" s="210" t="s">
        <v>5012</v>
      </c>
      <c r="U267" s="210">
        <v>8476</v>
      </c>
      <c r="V267" s="111">
        <v>419.49900000000002</v>
      </c>
      <c r="W267" s="111">
        <f t="shared" si="64"/>
        <v>3555673.5240000002</v>
      </c>
      <c r="X267" s="36" t="s">
        <v>5050</v>
      </c>
      <c r="AH267" s="97"/>
      <c r="AI267" s="97"/>
      <c r="AJ267" s="97"/>
      <c r="AK267" s="97"/>
      <c r="AL267" s="97"/>
      <c r="AM267" s="97" t="s">
        <v>4044</v>
      </c>
      <c r="AN267" s="97">
        <v>1.6667000000000001E-2</v>
      </c>
      <c r="AS267" t="s">
        <v>25</v>
      </c>
    </row>
    <row r="268" spans="7:45">
      <c r="G268" s="210" t="s">
        <v>5785</v>
      </c>
      <c r="H268" s="111">
        <v>94992058.939007998</v>
      </c>
      <c r="Q268" s="97" t="s">
        <v>5018</v>
      </c>
      <c r="R268" s="93">
        <v>500000</v>
      </c>
      <c r="S268" t="s">
        <v>25</v>
      </c>
      <c r="T268" s="210" t="s">
        <v>5062</v>
      </c>
      <c r="U268" s="210">
        <v>903</v>
      </c>
      <c r="V268" s="111">
        <v>442.77379999999999</v>
      </c>
      <c r="W268" s="111">
        <f t="shared" si="64"/>
        <v>399824.7414</v>
      </c>
      <c r="X268" s="36" t="s">
        <v>744</v>
      </c>
      <c r="AH268" s="97"/>
      <c r="AI268" s="97"/>
      <c r="AJ268" s="97"/>
      <c r="AK268" s="97"/>
      <c r="AL268" s="97"/>
      <c r="AM268" s="97"/>
      <c r="AN268" s="97"/>
    </row>
    <row r="269" spans="7:45" ht="21.75" customHeight="1">
      <c r="G269" s="210" t="s">
        <v>5792</v>
      </c>
      <c r="H269" s="111">
        <v>275021.925965</v>
      </c>
      <c r="J269" t="s">
        <v>25</v>
      </c>
      <c r="Q269" s="97" t="s">
        <v>5062</v>
      </c>
      <c r="R269" s="93">
        <v>400000</v>
      </c>
      <c r="S269" t="s">
        <v>25</v>
      </c>
      <c r="T269" s="210" t="s">
        <v>5065</v>
      </c>
      <c r="U269" s="210">
        <v>113</v>
      </c>
      <c r="V269" s="111">
        <v>442.48200000000003</v>
      </c>
      <c r="W269" s="111">
        <f t="shared" ref="W269:W350" si="73">U269*V269</f>
        <v>50000.466</v>
      </c>
      <c r="X269" s="36" t="s">
        <v>744</v>
      </c>
      <c r="AH269" s="97"/>
      <c r="AI269" s="97" t="s">
        <v>4045</v>
      </c>
      <c r="AJ269" s="93">
        <f>AJ264+AN264</f>
        <v>667044877.38633716</v>
      </c>
      <c r="AK269" s="97"/>
      <c r="AL269" s="97"/>
      <c r="AM269" s="97"/>
      <c r="AN269" s="97"/>
    </row>
    <row r="270" spans="7:45">
      <c r="G270" s="210" t="s">
        <v>5800</v>
      </c>
      <c r="H270" s="111">
        <v>327451.9203</v>
      </c>
      <c r="Q270" s="97" t="s">
        <v>5065</v>
      </c>
      <c r="R270" s="93">
        <v>50000</v>
      </c>
      <c r="S270" t="s">
        <v>25</v>
      </c>
      <c r="T270" s="210" t="s">
        <v>5075</v>
      </c>
      <c r="U270" s="210">
        <v>671</v>
      </c>
      <c r="V270" s="111">
        <v>447</v>
      </c>
      <c r="W270" s="111">
        <f t="shared" si="73"/>
        <v>299937</v>
      </c>
      <c r="X270" s="36" t="s">
        <v>744</v>
      </c>
      <c r="AI270" t="s">
        <v>4048</v>
      </c>
      <c r="AJ270" s="112">
        <f>SUM(N41:N53)</f>
        <v>4908823165</v>
      </c>
      <c r="AM270" t="s">
        <v>25</v>
      </c>
    </row>
    <row r="271" spans="7:45">
      <c r="G271" s="210" t="s">
        <v>5812</v>
      </c>
      <c r="H271" s="111">
        <v>260081.94096800001</v>
      </c>
      <c r="J271" t="s">
        <v>25</v>
      </c>
      <c r="Q271" s="97" t="s">
        <v>5075</v>
      </c>
      <c r="R271" s="93">
        <v>300000</v>
      </c>
      <c r="T271" s="210" t="s">
        <v>5077</v>
      </c>
      <c r="U271" s="210">
        <v>7</v>
      </c>
      <c r="V271" s="111">
        <v>465.31200000000001</v>
      </c>
      <c r="W271" s="111">
        <f t="shared" si="73"/>
        <v>3257.1840000000002</v>
      </c>
      <c r="X271" s="36" t="s">
        <v>452</v>
      </c>
      <c r="AI271" t="s">
        <v>4118</v>
      </c>
      <c r="AJ271" s="112">
        <f>AJ270-AJ264</f>
        <v>4470352215.9384365</v>
      </c>
      <c r="AM271" t="s">
        <v>25</v>
      </c>
      <c r="AR271" t="s">
        <v>25</v>
      </c>
    </row>
    <row r="272" spans="7:45">
      <c r="G272" s="210" t="s">
        <v>5823</v>
      </c>
      <c r="H272" s="111">
        <v>2909284.5308940001</v>
      </c>
      <c r="J272" t="s">
        <v>25</v>
      </c>
      <c r="Q272" s="97" t="s">
        <v>5097</v>
      </c>
      <c r="R272" s="93">
        <v>250000</v>
      </c>
      <c r="T272" s="210" t="s">
        <v>5082</v>
      </c>
      <c r="U272" s="210">
        <v>12950</v>
      </c>
      <c r="V272" s="111">
        <v>463.31599999999997</v>
      </c>
      <c r="W272" s="111">
        <f t="shared" si="73"/>
        <v>5999942.1999999993</v>
      </c>
      <c r="X272" s="36" t="s">
        <v>452</v>
      </c>
      <c r="AI272" t="s">
        <v>928</v>
      </c>
      <c r="AJ272" s="112">
        <f>AN264</f>
        <v>228573928.32477316</v>
      </c>
      <c r="AN272" t="s">
        <v>25</v>
      </c>
    </row>
    <row r="273" spans="7:40">
      <c r="G273" s="210" t="s">
        <v>5824</v>
      </c>
      <c r="H273" s="111">
        <v>37723205.094084002</v>
      </c>
      <c r="J273" t="s">
        <v>25</v>
      </c>
      <c r="Q273" s="97" t="s">
        <v>5130</v>
      </c>
      <c r="R273" s="93">
        <v>200000</v>
      </c>
      <c r="T273" s="210" t="s">
        <v>5084</v>
      </c>
      <c r="U273" s="210">
        <v>37</v>
      </c>
      <c r="V273" s="111">
        <v>463.315</v>
      </c>
      <c r="W273" s="111">
        <f t="shared" si="73"/>
        <v>17142.654999999999</v>
      </c>
      <c r="X273" s="36" t="s">
        <v>452</v>
      </c>
      <c r="AI273" t="s">
        <v>4049</v>
      </c>
      <c r="AJ273" s="112">
        <f>AJ270-AJ269</f>
        <v>4241778287.6136627</v>
      </c>
      <c r="AN273" t="s">
        <v>25</v>
      </c>
    </row>
    <row r="274" spans="7:40">
      <c r="G274" s="210" t="s">
        <v>5825</v>
      </c>
      <c r="H274" s="111">
        <v>1500094.75168</v>
      </c>
      <c r="Q274" s="97" t="s">
        <v>5162</v>
      </c>
      <c r="R274" s="93">
        <v>122000</v>
      </c>
      <c r="T274" s="210" t="s">
        <v>5085</v>
      </c>
      <c r="U274" s="210">
        <v>19</v>
      </c>
      <c r="V274" s="111">
        <v>434.3</v>
      </c>
      <c r="W274" s="111">
        <f t="shared" si="73"/>
        <v>8251.7000000000007</v>
      </c>
      <c r="X274" s="36" t="s">
        <v>452</v>
      </c>
      <c r="Y274" t="s">
        <v>25</v>
      </c>
      <c r="AM274" t="s">
        <v>25</v>
      </c>
    </row>
    <row r="275" spans="7:40">
      <c r="G275" s="210" t="s">
        <v>5826</v>
      </c>
      <c r="H275" s="111">
        <v>7230628.4378079996</v>
      </c>
      <c r="Q275" s="97" t="s">
        <v>5170</v>
      </c>
      <c r="R275" s="93">
        <v>200000</v>
      </c>
      <c r="S275" t="s">
        <v>25</v>
      </c>
      <c r="T275" s="210" t="s">
        <v>5087</v>
      </c>
      <c r="U275" s="210">
        <v>16</v>
      </c>
      <c r="V275" s="111">
        <v>439</v>
      </c>
      <c r="W275" s="111">
        <f t="shared" si="73"/>
        <v>7024</v>
      </c>
      <c r="X275" s="36" t="s">
        <v>452</v>
      </c>
      <c r="Y275" t="s">
        <v>25</v>
      </c>
      <c r="AJ275" t="s">
        <v>25</v>
      </c>
    </row>
    <row r="276" spans="7:40" ht="45">
      <c r="G276" s="210" t="s">
        <v>5828</v>
      </c>
      <c r="H276" s="111">
        <v>29767389.390390001</v>
      </c>
      <c r="J276" t="s">
        <v>25</v>
      </c>
      <c r="Q276" s="97" t="s">
        <v>5180</v>
      </c>
      <c r="R276" s="93">
        <v>60000</v>
      </c>
      <c r="T276" s="210" t="s">
        <v>5087</v>
      </c>
      <c r="U276" s="210">
        <v>9191</v>
      </c>
      <c r="V276" s="111">
        <v>440.24630000000002</v>
      </c>
      <c r="W276" s="111">
        <f t="shared" si="73"/>
        <v>4046303.7433000002</v>
      </c>
      <c r="X276" s="36" t="s">
        <v>5088</v>
      </c>
    </row>
    <row r="277" spans="7:40">
      <c r="G277" s="210" t="s">
        <v>5830</v>
      </c>
      <c r="H277" s="111">
        <v>151560.25597</v>
      </c>
      <c r="Q277" s="97" t="s">
        <v>5239</v>
      </c>
      <c r="R277" s="93">
        <v>-200000</v>
      </c>
      <c r="S277" t="s">
        <v>25</v>
      </c>
      <c r="T277" s="210" t="s">
        <v>5090</v>
      </c>
      <c r="U277" s="210">
        <v>-8792</v>
      </c>
      <c r="V277" s="111">
        <v>441.90665999999999</v>
      </c>
      <c r="W277" s="111">
        <f t="shared" si="73"/>
        <v>-3885243.3547199997</v>
      </c>
      <c r="X277" s="36" t="s">
        <v>5091</v>
      </c>
    </row>
    <row r="278" spans="7:40">
      <c r="G278" s="210" t="s">
        <v>5831</v>
      </c>
      <c r="H278" s="111">
        <v>481318.88078800001</v>
      </c>
      <c r="Q278" s="97" t="s">
        <v>5301</v>
      </c>
      <c r="R278" s="93">
        <v>-9000000</v>
      </c>
      <c r="T278" s="210" t="s">
        <v>5097</v>
      </c>
      <c r="U278" s="210">
        <v>530</v>
      </c>
      <c r="V278" s="111">
        <v>472</v>
      </c>
      <c r="W278" s="111">
        <f t="shared" si="73"/>
        <v>250160</v>
      </c>
      <c r="X278" s="36" t="s">
        <v>744</v>
      </c>
    </row>
    <row r="279" spans="7:40" ht="30">
      <c r="G279" s="210" t="s">
        <v>5835</v>
      </c>
      <c r="H279" s="111">
        <v>146277.56820000001</v>
      </c>
      <c r="Q279" s="97" t="s">
        <v>5364</v>
      </c>
      <c r="R279" s="93">
        <v>-26000000</v>
      </c>
      <c r="T279" s="210" t="s">
        <v>5097</v>
      </c>
      <c r="U279" s="210">
        <v>12</v>
      </c>
      <c r="V279" s="111">
        <v>481.86</v>
      </c>
      <c r="W279" s="111">
        <f t="shared" si="73"/>
        <v>5782.32</v>
      </c>
      <c r="X279" s="36" t="s">
        <v>5099</v>
      </c>
    </row>
    <row r="280" spans="7:40">
      <c r="G280" s="210" t="s">
        <v>5850</v>
      </c>
      <c r="H280" s="111">
        <v>424693.40162399999</v>
      </c>
      <c r="Q280" s="97" t="s">
        <v>5368</v>
      </c>
      <c r="R280" s="93">
        <v>-95900000</v>
      </c>
      <c r="T280" s="210" t="s">
        <v>5123</v>
      </c>
      <c r="U280" s="210">
        <v>846</v>
      </c>
      <c r="V280" s="111">
        <v>472.7</v>
      </c>
      <c r="W280" s="111">
        <f t="shared" si="73"/>
        <v>399904.2</v>
      </c>
      <c r="X280" s="36" t="s">
        <v>452</v>
      </c>
      <c r="AH280" s="97" t="s">
        <v>3625</v>
      </c>
      <c r="AI280" s="97" t="s">
        <v>180</v>
      </c>
      <c r="AJ280" s="97" t="s">
        <v>267</v>
      </c>
      <c r="AK280" s="97" t="s">
        <v>4042</v>
      </c>
      <c r="AL280" s="97" t="s">
        <v>4034</v>
      </c>
      <c r="AM280" s="97" t="s">
        <v>282</v>
      </c>
      <c r="AN280" s="97" t="s">
        <v>4268</v>
      </c>
    </row>
    <row r="281" spans="7:40">
      <c r="G281" s="210" t="s">
        <v>5853</v>
      </c>
      <c r="H281" s="111">
        <v>558320.40202399995</v>
      </c>
      <c r="Q281" s="97" t="s">
        <v>5369</v>
      </c>
      <c r="R281" s="93">
        <v>-28950000</v>
      </c>
      <c r="S281" t="s">
        <v>25</v>
      </c>
      <c r="T281" s="210" t="s">
        <v>5126</v>
      </c>
      <c r="U281" s="210">
        <v>191</v>
      </c>
      <c r="V281" s="111">
        <v>484.572</v>
      </c>
      <c r="W281" s="111">
        <f t="shared" si="73"/>
        <v>92553.252000000008</v>
      </c>
      <c r="X281" s="36" t="s">
        <v>5127</v>
      </c>
      <c r="AH281" s="97">
        <v>1</v>
      </c>
      <c r="AI281" s="97" t="s">
        <v>3933</v>
      </c>
      <c r="AJ281" s="115">
        <v>3555820</v>
      </c>
      <c r="AK281" s="97">
        <v>2</v>
      </c>
      <c r="AL281" s="97">
        <f>AK281+AL282</f>
        <v>991</v>
      </c>
      <c r="AM281" s="97">
        <f>AJ281*AL281</f>
        <v>3523817620</v>
      </c>
      <c r="AN281" s="97" t="s">
        <v>4286</v>
      </c>
    </row>
    <row r="282" spans="7:40">
      <c r="G282" s="210" t="s">
        <v>5855</v>
      </c>
      <c r="H282" s="111">
        <v>207642.22201140001</v>
      </c>
      <c r="J282" t="s">
        <v>25</v>
      </c>
      <c r="O282" t="s">
        <v>25</v>
      </c>
      <c r="Q282" s="97" t="s">
        <v>5523</v>
      </c>
      <c r="R282" s="93">
        <v>-93000000</v>
      </c>
      <c r="S282" t="s">
        <v>25</v>
      </c>
      <c r="T282" s="210" t="s">
        <v>5126</v>
      </c>
      <c r="U282" s="210">
        <v>-206</v>
      </c>
      <c r="V282" s="111">
        <v>484.572</v>
      </c>
      <c r="W282" s="111">
        <f t="shared" si="73"/>
        <v>-99821.831999999995</v>
      </c>
      <c r="X282" s="36" t="s">
        <v>5129</v>
      </c>
      <c r="AH282" s="97">
        <v>2</v>
      </c>
      <c r="AI282" s="97" t="s">
        <v>4008</v>
      </c>
      <c r="AJ282" s="115">
        <v>1720837</v>
      </c>
      <c r="AK282" s="97">
        <v>51</v>
      </c>
      <c r="AL282" s="97">
        <f t="shared" ref="AL282:AL291" si="74">AK282+AL283</f>
        <v>989</v>
      </c>
      <c r="AM282" s="97">
        <f t="shared" ref="AM282:AM310" si="75">AJ282*AL282</f>
        <v>1701907793</v>
      </c>
      <c r="AN282" s="97" t="s">
        <v>4287</v>
      </c>
    </row>
    <row r="283" spans="7:40">
      <c r="G283" s="210" t="s">
        <v>5896</v>
      </c>
      <c r="H283" s="111">
        <v>637977.33504399995</v>
      </c>
      <c r="J283" t="s">
        <v>25</v>
      </c>
      <c r="Q283" s="97" t="s">
        <v>5532</v>
      </c>
      <c r="R283" s="93">
        <v>50000000</v>
      </c>
      <c r="T283" s="210" t="s">
        <v>5130</v>
      </c>
      <c r="U283" s="210">
        <v>20685</v>
      </c>
      <c r="V283" s="111">
        <v>483.43312200000003</v>
      </c>
      <c r="W283" s="111">
        <f t="shared" si="73"/>
        <v>9999814.1285699997</v>
      </c>
      <c r="X283" s="36" t="s">
        <v>5132</v>
      </c>
      <c r="AH283" s="97">
        <v>3</v>
      </c>
      <c r="AI283" s="97" t="s">
        <v>4112</v>
      </c>
      <c r="AJ283" s="115">
        <v>150000</v>
      </c>
      <c r="AK283" s="97">
        <v>3</v>
      </c>
      <c r="AL283" s="97">
        <f t="shared" si="74"/>
        <v>938</v>
      </c>
      <c r="AM283" s="97">
        <f t="shared" si="75"/>
        <v>140700000</v>
      </c>
      <c r="AN283" s="97"/>
    </row>
    <row r="284" spans="7:40">
      <c r="G284" s="210" t="s">
        <v>5897</v>
      </c>
      <c r="H284" s="111">
        <v>466552.25632400002</v>
      </c>
      <c r="J284" t="s">
        <v>25</v>
      </c>
      <c r="Q284" s="97" t="s">
        <v>4212</v>
      </c>
      <c r="R284" s="93">
        <v>2749471.1668000002</v>
      </c>
      <c r="T284" s="210" t="s">
        <v>5130</v>
      </c>
      <c r="U284" s="210">
        <v>-413</v>
      </c>
      <c r="V284" s="111">
        <v>483.40199999999999</v>
      </c>
      <c r="W284" s="111">
        <f t="shared" si="73"/>
        <v>-199645.02599999998</v>
      </c>
      <c r="X284" s="36" t="s">
        <v>4409</v>
      </c>
      <c r="AH284" s="97">
        <v>4</v>
      </c>
      <c r="AI284" s="97" t="s">
        <v>4127</v>
      </c>
      <c r="AJ284" s="115">
        <v>-95000</v>
      </c>
      <c r="AK284" s="97">
        <v>8</v>
      </c>
      <c r="AL284" s="97">
        <f t="shared" si="74"/>
        <v>935</v>
      </c>
      <c r="AM284" s="97">
        <f t="shared" si="75"/>
        <v>-88825000</v>
      </c>
      <c r="AN284" s="97"/>
    </row>
    <row r="285" spans="7:40">
      <c r="G285" s="210" t="s">
        <v>5899</v>
      </c>
      <c r="H285" s="111">
        <v>189134.85153000001</v>
      </c>
      <c r="Q285" s="97" t="s">
        <v>5623</v>
      </c>
      <c r="R285" s="93">
        <v>-680940.07019999996</v>
      </c>
      <c r="T285" s="210" t="s">
        <v>5130</v>
      </c>
      <c r="U285" s="210">
        <v>413</v>
      </c>
      <c r="V285" s="111">
        <v>483.40199999999999</v>
      </c>
      <c r="W285" s="111">
        <f t="shared" si="73"/>
        <v>199645.02599999998</v>
      </c>
      <c r="X285" s="36" t="s">
        <v>744</v>
      </c>
      <c r="AH285" s="97">
        <v>5</v>
      </c>
      <c r="AI285" s="97" t="s">
        <v>4152</v>
      </c>
      <c r="AJ285" s="115">
        <v>3150000</v>
      </c>
      <c r="AK285" s="97">
        <v>16</v>
      </c>
      <c r="AL285" s="97">
        <f t="shared" si="74"/>
        <v>927</v>
      </c>
      <c r="AM285" s="97">
        <f t="shared" si="75"/>
        <v>2920050000</v>
      </c>
      <c r="AN285" s="97"/>
    </row>
    <row r="286" spans="7:40">
      <c r="G286" s="210" t="s">
        <v>5906</v>
      </c>
      <c r="H286" s="111">
        <v>564888.82799599995</v>
      </c>
      <c r="J286" t="s">
        <v>25</v>
      </c>
      <c r="K286" t="s">
        <v>25</v>
      </c>
      <c r="Q286" s="97" t="s">
        <v>5623</v>
      </c>
      <c r="R286" s="93">
        <v>-48684800.338199995</v>
      </c>
      <c r="T286" s="210" t="s">
        <v>5135</v>
      </c>
      <c r="U286" s="210">
        <v>-828</v>
      </c>
      <c r="V286" s="111">
        <v>483.43312200000003</v>
      </c>
      <c r="W286" s="111">
        <f t="shared" si="73"/>
        <v>-400282.62501600001</v>
      </c>
      <c r="X286" s="36" t="s">
        <v>452</v>
      </c>
      <c r="AH286" s="97">
        <v>6</v>
      </c>
      <c r="AI286" s="97" t="s">
        <v>4217</v>
      </c>
      <c r="AJ286" s="115">
        <v>-65000</v>
      </c>
      <c r="AK286" s="97">
        <v>1</v>
      </c>
      <c r="AL286" s="97">
        <f t="shared" si="74"/>
        <v>911</v>
      </c>
      <c r="AM286" s="97">
        <f t="shared" si="75"/>
        <v>-59215000</v>
      </c>
      <c r="AN286" s="97"/>
    </row>
    <row r="287" spans="7:40">
      <c r="G287" s="210" t="s">
        <v>5966</v>
      </c>
      <c r="H287" s="111">
        <v>259993.58394100002</v>
      </c>
      <c r="J287" t="s">
        <v>25</v>
      </c>
      <c r="Q287" s="97" t="s">
        <v>5647</v>
      </c>
      <c r="R287" s="93">
        <v>1500000</v>
      </c>
      <c r="S287" t="s">
        <v>25</v>
      </c>
      <c r="T287" s="210" t="s">
        <v>5138</v>
      </c>
      <c r="U287" s="210">
        <v>12</v>
      </c>
      <c r="V287" s="111">
        <v>473.61898300000001</v>
      </c>
      <c r="W287" s="111">
        <f t="shared" si="73"/>
        <v>5683.4277959999999</v>
      </c>
      <c r="X287" s="36" t="s">
        <v>452</v>
      </c>
      <c r="AH287" s="97">
        <v>7</v>
      </c>
      <c r="AI287" s="97" t="s">
        <v>4288</v>
      </c>
      <c r="AJ287" s="115">
        <v>-95000</v>
      </c>
      <c r="AK287" s="97">
        <v>6</v>
      </c>
      <c r="AL287" s="97">
        <f t="shared" si="74"/>
        <v>910</v>
      </c>
      <c r="AM287" s="97">
        <f t="shared" si="75"/>
        <v>-86450000</v>
      </c>
      <c r="AN287" s="97"/>
    </row>
    <row r="288" spans="7:40">
      <c r="G288" s="210" t="s">
        <v>5972</v>
      </c>
      <c r="H288" s="111">
        <v>269955.31205999997</v>
      </c>
      <c r="J288" t="s">
        <v>25</v>
      </c>
      <c r="Q288" s="97" t="s">
        <v>965</v>
      </c>
      <c r="R288" s="93">
        <v>11221062</v>
      </c>
      <c r="S288" t="s">
        <v>25</v>
      </c>
      <c r="T288" s="210" t="s">
        <v>5141</v>
      </c>
      <c r="U288" s="210">
        <v>963</v>
      </c>
      <c r="V288" s="111">
        <v>477.92200000000003</v>
      </c>
      <c r="W288" s="111">
        <f t="shared" si="73"/>
        <v>460238.886</v>
      </c>
      <c r="X288" s="36" t="s">
        <v>452</v>
      </c>
      <c r="AH288" s="97">
        <v>8</v>
      </c>
      <c r="AI288" s="97" t="s">
        <v>4289</v>
      </c>
      <c r="AJ288" s="115">
        <v>232000</v>
      </c>
      <c r="AK288" s="97">
        <v>7</v>
      </c>
      <c r="AL288" s="97">
        <f t="shared" si="74"/>
        <v>904</v>
      </c>
      <c r="AM288" s="97">
        <f t="shared" si="75"/>
        <v>209728000</v>
      </c>
      <c r="AN288" s="97"/>
    </row>
    <row r="289" spans="7:44">
      <c r="G289" s="210"/>
      <c r="H289" s="111"/>
      <c r="Q289" s="97" t="s">
        <v>5886</v>
      </c>
      <c r="R289" s="93">
        <v>20031495.928431001</v>
      </c>
      <c r="T289" s="210" t="s">
        <v>5142</v>
      </c>
      <c r="U289" s="210">
        <v>2815</v>
      </c>
      <c r="V289" s="111">
        <v>461.79</v>
      </c>
      <c r="W289" s="111">
        <f t="shared" si="73"/>
        <v>1299938.8500000001</v>
      </c>
      <c r="X289" s="36" t="s">
        <v>452</v>
      </c>
      <c r="AH289" s="97">
        <v>9</v>
      </c>
      <c r="AI289" s="97" t="s">
        <v>4267</v>
      </c>
      <c r="AJ289" s="115">
        <v>13000000</v>
      </c>
      <c r="AK289" s="97">
        <v>2</v>
      </c>
      <c r="AL289" s="97">
        <f t="shared" si="74"/>
        <v>897</v>
      </c>
      <c r="AM289" s="97">
        <f t="shared" si="75"/>
        <v>11661000000</v>
      </c>
      <c r="AN289" s="97"/>
    </row>
    <row r="290" spans="7:44">
      <c r="G290" s="210"/>
      <c r="H290" s="111"/>
      <c r="J290" t="s">
        <v>25</v>
      </c>
      <c r="O290" t="s">
        <v>25</v>
      </c>
      <c r="Q290" s="97" t="s">
        <v>5928</v>
      </c>
      <c r="R290" s="93">
        <v>-154353015.43906799</v>
      </c>
      <c r="S290" t="s">
        <v>25</v>
      </c>
      <c r="T290" s="210" t="s">
        <v>5142</v>
      </c>
      <c r="U290" s="210">
        <v>1581</v>
      </c>
      <c r="V290" s="111">
        <v>461.79</v>
      </c>
      <c r="W290" s="111">
        <f t="shared" si="73"/>
        <v>730089.99</v>
      </c>
      <c r="X290" s="36" t="s">
        <v>452</v>
      </c>
      <c r="Y290" t="s">
        <v>25</v>
      </c>
      <c r="AH290" s="97">
        <v>10</v>
      </c>
      <c r="AI290" s="97" t="s">
        <v>4290</v>
      </c>
      <c r="AJ290" s="115">
        <v>10000000</v>
      </c>
      <c r="AK290" s="97">
        <v>3</v>
      </c>
      <c r="AL290" s="97">
        <f t="shared" si="74"/>
        <v>895</v>
      </c>
      <c r="AM290" s="97">
        <f t="shared" si="75"/>
        <v>8950000000</v>
      </c>
      <c r="AN290" s="97"/>
    </row>
    <row r="291" spans="7:44">
      <c r="G291" s="210"/>
      <c r="H291" s="111"/>
      <c r="Q291" s="97" t="s">
        <v>5952</v>
      </c>
      <c r="R291" s="93">
        <v>16643927.89773</v>
      </c>
      <c r="S291" t="s">
        <v>25</v>
      </c>
      <c r="T291" s="210" t="s">
        <v>977</v>
      </c>
      <c r="U291" s="210">
        <v>41</v>
      </c>
      <c r="V291" s="111">
        <v>514.48099999999999</v>
      </c>
      <c r="W291" s="111">
        <f t="shared" si="73"/>
        <v>21093.721000000001</v>
      </c>
      <c r="X291" s="36" t="s">
        <v>5127</v>
      </c>
      <c r="AH291" s="97">
        <v>11</v>
      </c>
      <c r="AI291" s="97" t="s">
        <v>4279</v>
      </c>
      <c r="AJ291" s="115">
        <v>3400000</v>
      </c>
      <c r="AK291" s="97">
        <v>9</v>
      </c>
      <c r="AL291" s="97">
        <f t="shared" si="74"/>
        <v>892</v>
      </c>
      <c r="AM291" s="97">
        <f t="shared" si="75"/>
        <v>3032800000</v>
      </c>
      <c r="AN291" s="97"/>
    </row>
    <row r="292" spans="7:44">
      <c r="G292" s="210"/>
      <c r="H292" s="111"/>
      <c r="Q292" s="97" t="s">
        <v>5953</v>
      </c>
      <c r="R292" s="93">
        <v>33355467.51292</v>
      </c>
      <c r="T292" s="210" t="s">
        <v>4256</v>
      </c>
      <c r="U292" s="210">
        <v>71</v>
      </c>
      <c r="V292" s="111">
        <v>482.57</v>
      </c>
      <c r="W292" s="111">
        <f t="shared" si="73"/>
        <v>34262.47</v>
      </c>
      <c r="X292" s="36" t="s">
        <v>5127</v>
      </c>
      <c r="AH292" s="97">
        <v>12</v>
      </c>
      <c r="AI292" s="97" t="s">
        <v>4316</v>
      </c>
      <c r="AJ292" s="115">
        <v>-8736514</v>
      </c>
      <c r="AK292" s="97">
        <v>1</v>
      </c>
      <c r="AL292" s="97">
        <f>AK292+AL293</f>
        <v>883</v>
      </c>
      <c r="AM292" s="97">
        <f t="shared" si="75"/>
        <v>-7714341862</v>
      </c>
      <c r="AN292" s="97"/>
    </row>
    <row r="293" spans="7:44">
      <c r="G293" s="210"/>
      <c r="H293" s="111"/>
      <c r="Q293" s="97"/>
      <c r="R293" s="93"/>
      <c r="S293" t="s">
        <v>25</v>
      </c>
      <c r="T293" s="210" t="s">
        <v>5162</v>
      </c>
      <c r="U293" s="210">
        <v>-250</v>
      </c>
      <c r="V293" s="111">
        <v>487.125</v>
      </c>
      <c r="W293" s="111">
        <f t="shared" si="73"/>
        <v>-121781.25</v>
      </c>
      <c r="X293" s="36" t="s">
        <v>4409</v>
      </c>
      <c r="AH293" s="97">
        <v>13</v>
      </c>
      <c r="AI293" s="97" t="s">
        <v>4317</v>
      </c>
      <c r="AJ293" s="115">
        <v>555000</v>
      </c>
      <c r="AK293" s="97">
        <v>5</v>
      </c>
      <c r="AL293" s="97">
        <f t="shared" ref="AL293:AL309" si="76">AK293+AL294</f>
        <v>882</v>
      </c>
      <c r="AM293" s="97">
        <f t="shared" si="75"/>
        <v>489510000</v>
      </c>
      <c r="AN293" s="97"/>
    </row>
    <row r="294" spans="7:44">
      <c r="G294" s="210" t="s">
        <v>5516</v>
      </c>
      <c r="H294" s="111">
        <v>-87000000</v>
      </c>
      <c r="Q294" s="97"/>
      <c r="R294" s="93"/>
      <c r="T294" s="210" t="s">
        <v>5162</v>
      </c>
      <c r="U294" s="210">
        <v>250</v>
      </c>
      <c r="V294" s="111">
        <v>487.125</v>
      </c>
      <c r="W294" s="111">
        <f t="shared" si="73"/>
        <v>121781.25</v>
      </c>
      <c r="X294" s="36" t="s">
        <v>744</v>
      </c>
      <c r="AH294" s="97">
        <v>14</v>
      </c>
      <c r="AI294" s="97" t="s">
        <v>4341</v>
      </c>
      <c r="AJ294" s="115">
        <v>-448308</v>
      </c>
      <c r="AK294" s="97">
        <v>6</v>
      </c>
      <c r="AL294" s="97">
        <f t="shared" si="76"/>
        <v>877</v>
      </c>
      <c r="AM294" s="97">
        <f t="shared" si="75"/>
        <v>-393166116</v>
      </c>
      <c r="AN294" s="97"/>
    </row>
    <row r="295" spans="7:44">
      <c r="G295" s="210"/>
      <c r="H295" s="111"/>
      <c r="Q295" s="97" t="s">
        <v>25</v>
      </c>
      <c r="R295" s="93"/>
      <c r="T295" s="210" t="s">
        <v>5170</v>
      </c>
      <c r="U295" s="210">
        <v>-1439</v>
      </c>
      <c r="V295" s="111">
        <v>486.53068999999999</v>
      </c>
      <c r="W295" s="111">
        <f t="shared" si="73"/>
        <v>-700117.66290999996</v>
      </c>
      <c r="X295" s="36" t="s">
        <v>4409</v>
      </c>
      <c r="AH295" s="97">
        <v>15</v>
      </c>
      <c r="AI295" s="97" t="s">
        <v>4368</v>
      </c>
      <c r="AJ295" s="115">
        <v>33225</v>
      </c>
      <c r="AK295" s="97">
        <v>0</v>
      </c>
      <c r="AL295" s="97">
        <f t="shared" si="76"/>
        <v>871</v>
      </c>
      <c r="AM295" s="97">
        <f t="shared" si="75"/>
        <v>28938975</v>
      </c>
      <c r="AN295" s="97"/>
    </row>
    <row r="296" spans="7:44">
      <c r="G296" s="210"/>
      <c r="H296" s="1"/>
      <c r="Q296" s="97"/>
      <c r="R296" s="93">
        <f>SUM(R238:R295)</f>
        <v>115716493.65841299</v>
      </c>
      <c r="T296" s="210" t="s">
        <v>5170</v>
      </c>
      <c r="U296" s="210">
        <v>411</v>
      </c>
      <c r="V296" s="111">
        <v>486.53068999999999</v>
      </c>
      <c r="W296" s="111">
        <f t="shared" si="73"/>
        <v>199964.11358999999</v>
      </c>
      <c r="X296" s="36" t="s">
        <v>744</v>
      </c>
      <c r="Y296" t="s">
        <v>25</v>
      </c>
      <c r="AH296" s="147">
        <v>16</v>
      </c>
      <c r="AI296" s="147" t="s">
        <v>4368</v>
      </c>
      <c r="AJ296" s="186">
        <v>4098523</v>
      </c>
      <c r="AK296" s="147">
        <v>2</v>
      </c>
      <c r="AL296" s="147">
        <f t="shared" si="76"/>
        <v>871</v>
      </c>
      <c r="AM296" s="147">
        <f t="shared" si="75"/>
        <v>3569813533</v>
      </c>
      <c r="AN296" s="147" t="s">
        <v>650</v>
      </c>
    </row>
    <row r="297" spans="7:44">
      <c r="G297" s="210"/>
      <c r="H297" s="1"/>
      <c r="R297" s="97" t="s">
        <v>6</v>
      </c>
      <c r="S297" t="s">
        <v>25</v>
      </c>
      <c r="T297" s="210" t="s">
        <v>5140</v>
      </c>
      <c r="U297" s="210">
        <v>-4290</v>
      </c>
      <c r="V297" s="111">
        <v>497.57670000000002</v>
      </c>
      <c r="W297" s="111">
        <f t="shared" si="73"/>
        <v>-2134604.0430000001</v>
      </c>
      <c r="X297" s="36" t="s">
        <v>452</v>
      </c>
      <c r="AH297" s="147">
        <v>17</v>
      </c>
      <c r="AI297" s="147" t="s">
        <v>4379</v>
      </c>
      <c r="AJ297" s="186">
        <v>-1000000</v>
      </c>
      <c r="AK297" s="147">
        <v>7</v>
      </c>
      <c r="AL297" s="147">
        <f t="shared" si="76"/>
        <v>869</v>
      </c>
      <c r="AM297" s="147">
        <f t="shared" si="75"/>
        <v>-869000000</v>
      </c>
      <c r="AN297" s="147" t="s">
        <v>650</v>
      </c>
    </row>
    <row r="298" spans="7:44">
      <c r="G298" s="210"/>
      <c r="H298" s="1"/>
      <c r="O298" t="s">
        <v>25</v>
      </c>
      <c r="R298" t="s">
        <v>25</v>
      </c>
      <c r="T298" s="210" t="s">
        <v>5177</v>
      </c>
      <c r="U298" s="210">
        <v>-644</v>
      </c>
      <c r="V298" s="111">
        <v>494.76464499999997</v>
      </c>
      <c r="W298" s="111">
        <f t="shared" si="73"/>
        <v>-318628.43137999997</v>
      </c>
      <c r="X298" s="36" t="s">
        <v>452</v>
      </c>
      <c r="AH298" s="147">
        <v>18</v>
      </c>
      <c r="AI298" s="147" t="s">
        <v>4399</v>
      </c>
      <c r="AJ298" s="186">
        <v>750000</v>
      </c>
      <c r="AK298" s="147">
        <v>1</v>
      </c>
      <c r="AL298" s="147">
        <f t="shared" si="76"/>
        <v>862</v>
      </c>
      <c r="AM298" s="147">
        <f t="shared" si="75"/>
        <v>646500000</v>
      </c>
      <c r="AN298" s="147" t="s">
        <v>650</v>
      </c>
    </row>
    <row r="299" spans="7:44">
      <c r="G299" s="210" t="s">
        <v>6</v>
      </c>
      <c r="H299" s="1">
        <f>SUM(H181:H298)</f>
        <v>1447253100.3576417</v>
      </c>
      <c r="Q299" s="97" t="s">
        <v>452</v>
      </c>
      <c r="T299" s="210" t="s">
        <v>5180</v>
      </c>
      <c r="U299" s="210">
        <v>-112</v>
      </c>
      <c r="V299" s="111">
        <v>485.78</v>
      </c>
      <c r="W299" s="111">
        <f t="shared" si="73"/>
        <v>-54407.360000000001</v>
      </c>
      <c r="X299" s="36" t="s">
        <v>452</v>
      </c>
      <c r="AH299" s="193">
        <v>19</v>
      </c>
      <c r="AI299" s="193" t="s">
        <v>4400</v>
      </c>
      <c r="AJ299" s="194">
        <v>-604152</v>
      </c>
      <c r="AK299" s="193">
        <v>0</v>
      </c>
      <c r="AL299" s="193">
        <f t="shared" si="76"/>
        <v>861</v>
      </c>
      <c r="AM299" s="193">
        <f t="shared" si="75"/>
        <v>-520174872</v>
      </c>
      <c r="AN299" s="193" t="s">
        <v>650</v>
      </c>
    </row>
    <row r="300" spans="7:44">
      <c r="G300" s="308"/>
      <c r="H300" s="1"/>
      <c r="P300" t="s">
        <v>25</v>
      </c>
      <c r="Q300" s="97" t="s">
        <v>4402</v>
      </c>
      <c r="R300" s="97"/>
      <c r="T300" s="210" t="s">
        <v>5180</v>
      </c>
      <c r="U300" s="210">
        <v>123</v>
      </c>
      <c r="V300" s="111">
        <v>485.78</v>
      </c>
      <c r="W300" s="111">
        <f t="shared" si="73"/>
        <v>59750.939999999995</v>
      </c>
      <c r="X300" s="36" t="s">
        <v>744</v>
      </c>
      <c r="AH300" s="97">
        <v>20</v>
      </c>
      <c r="AI300" s="97" t="s">
        <v>4401</v>
      </c>
      <c r="AJ300" s="115">
        <v>-587083</v>
      </c>
      <c r="AK300" s="97">
        <v>4</v>
      </c>
      <c r="AL300" s="97">
        <f t="shared" si="76"/>
        <v>861</v>
      </c>
      <c r="AM300" s="97">
        <f t="shared" si="75"/>
        <v>-505478463</v>
      </c>
      <c r="AN300" s="97"/>
      <c r="AR300" t="s">
        <v>25</v>
      </c>
    </row>
    <row r="301" spans="7:44">
      <c r="Q301" s="97" t="s">
        <v>4448</v>
      </c>
      <c r="R301" s="93">
        <v>63115000</v>
      </c>
      <c r="T301" s="210" t="s">
        <v>5180</v>
      </c>
      <c r="U301" s="210">
        <v>-123</v>
      </c>
      <c r="V301" s="111">
        <v>485.78</v>
      </c>
      <c r="W301" s="111">
        <f t="shared" si="73"/>
        <v>-59750.939999999995</v>
      </c>
      <c r="X301" s="36" t="s">
        <v>4409</v>
      </c>
      <c r="AH301" s="193">
        <v>21</v>
      </c>
      <c r="AI301" s="193" t="s">
        <v>4402</v>
      </c>
      <c r="AJ301" s="194">
        <v>-754351</v>
      </c>
      <c r="AK301" s="193">
        <v>0</v>
      </c>
      <c r="AL301" s="147">
        <f t="shared" si="76"/>
        <v>857</v>
      </c>
      <c r="AM301" s="193">
        <f t="shared" si="75"/>
        <v>-646478807</v>
      </c>
      <c r="AN301" s="193" t="s">
        <v>650</v>
      </c>
    </row>
    <row r="302" spans="7:44">
      <c r="Q302" s="97" t="s">
        <v>4456</v>
      </c>
      <c r="R302" s="93">
        <v>13300000</v>
      </c>
      <c r="T302" s="210" t="s">
        <v>5223</v>
      </c>
      <c r="U302" s="210">
        <v>32367</v>
      </c>
      <c r="V302" s="111">
        <v>556.12900000000002</v>
      </c>
      <c r="W302" s="111">
        <f t="shared" si="73"/>
        <v>18000227.343000002</v>
      </c>
      <c r="X302" s="36" t="s">
        <v>452</v>
      </c>
      <c r="AH302" s="97">
        <v>22</v>
      </c>
      <c r="AI302" s="97" t="s">
        <v>4402</v>
      </c>
      <c r="AJ302" s="115">
        <v>-189619</v>
      </c>
      <c r="AK302" s="97">
        <v>15</v>
      </c>
      <c r="AL302" s="97">
        <f t="shared" si="76"/>
        <v>857</v>
      </c>
      <c r="AM302" s="97">
        <f t="shared" si="75"/>
        <v>-162503483</v>
      </c>
      <c r="AN302" s="97"/>
    </row>
    <row r="303" spans="7:44">
      <c r="G303" s="94"/>
      <c r="H303" s="9" t="s">
        <v>452</v>
      </c>
      <c r="Q303" s="97" t="s">
        <v>4558</v>
      </c>
      <c r="R303" s="93">
        <v>2269000</v>
      </c>
      <c r="T303" s="210" t="s">
        <v>5239</v>
      </c>
      <c r="U303" s="210">
        <v>1254</v>
      </c>
      <c r="V303" s="111">
        <v>558.24400000000003</v>
      </c>
      <c r="W303" s="111">
        <f t="shared" si="73"/>
        <v>700037.97600000002</v>
      </c>
      <c r="X303" s="36" t="s">
        <v>4409</v>
      </c>
      <c r="AH303" s="193">
        <v>23</v>
      </c>
      <c r="AI303" s="193" t="s">
        <v>4464</v>
      </c>
      <c r="AJ303" s="186">
        <v>7100</v>
      </c>
      <c r="AK303" s="193">
        <v>0</v>
      </c>
      <c r="AL303" s="147">
        <f t="shared" si="76"/>
        <v>842</v>
      </c>
      <c r="AM303" s="193">
        <f t="shared" si="75"/>
        <v>5978200</v>
      </c>
      <c r="AN303" s="193" t="s">
        <v>650</v>
      </c>
    </row>
    <row r="304" spans="7:44">
      <c r="G304" s="94"/>
      <c r="H304" s="9" t="s">
        <v>744</v>
      </c>
      <c r="Q304" s="97" t="s">
        <v>4567</v>
      </c>
      <c r="R304" s="93">
        <v>25071612</v>
      </c>
      <c r="T304" s="166" t="s">
        <v>5239</v>
      </c>
      <c r="U304" s="210">
        <v>-358</v>
      </c>
      <c r="V304" s="111">
        <v>558.24400000000003</v>
      </c>
      <c r="W304" s="111">
        <f t="shared" si="73"/>
        <v>-199851.35200000001</v>
      </c>
      <c r="X304" s="36" t="s">
        <v>744</v>
      </c>
      <c r="Z304" t="s">
        <v>25</v>
      </c>
      <c r="AH304" s="20">
        <v>24</v>
      </c>
      <c r="AI304" s="20" t="s">
        <v>4464</v>
      </c>
      <c r="AJ304" s="115">
        <v>-147902</v>
      </c>
      <c r="AK304" s="20">
        <v>3</v>
      </c>
      <c r="AL304" s="97">
        <f t="shared" si="76"/>
        <v>842</v>
      </c>
      <c r="AM304" s="20">
        <f t="shared" si="75"/>
        <v>-124533484</v>
      </c>
      <c r="AN304" s="20"/>
    </row>
    <row r="305" spans="7:40">
      <c r="G305" s="94"/>
      <c r="H305" s="9" t="s">
        <v>5442</v>
      </c>
      <c r="O305" t="s">
        <v>25</v>
      </c>
      <c r="Q305" s="97" t="s">
        <v>4568</v>
      </c>
      <c r="R305" s="93">
        <v>42236984</v>
      </c>
      <c r="T305" s="187" t="s">
        <v>5258</v>
      </c>
      <c r="U305" s="187">
        <v>63259</v>
      </c>
      <c r="V305" s="186">
        <v>632.31960000000004</v>
      </c>
      <c r="W305" s="186">
        <f t="shared" si="73"/>
        <v>39999905.576400004</v>
      </c>
      <c r="X305" s="272" t="s">
        <v>1071</v>
      </c>
      <c r="AH305" s="147">
        <v>25</v>
      </c>
      <c r="AI305" s="147" t="s">
        <v>4472</v>
      </c>
      <c r="AJ305" s="186">
        <v>-37200</v>
      </c>
      <c r="AK305" s="147">
        <v>4</v>
      </c>
      <c r="AL305" s="147">
        <f t="shared" si="76"/>
        <v>839</v>
      </c>
      <c r="AM305" s="193">
        <f t="shared" si="75"/>
        <v>-31210800</v>
      </c>
      <c r="AN305" s="147" t="s">
        <v>650</v>
      </c>
    </row>
    <row r="306" spans="7:40">
      <c r="G306" s="94"/>
      <c r="H306" s="9" t="s">
        <v>1071</v>
      </c>
      <c r="Q306" s="97" t="s">
        <v>4591</v>
      </c>
      <c r="R306" s="93">
        <v>19663646</v>
      </c>
      <c r="T306" s="19" t="s">
        <v>5262</v>
      </c>
      <c r="U306" s="19">
        <v>-1278</v>
      </c>
      <c r="V306" s="115">
        <v>625.98</v>
      </c>
      <c r="W306" s="115">
        <f t="shared" si="73"/>
        <v>-800002.44000000006</v>
      </c>
      <c r="X306" s="273" t="s">
        <v>5263</v>
      </c>
      <c r="AH306" s="97">
        <v>26</v>
      </c>
      <c r="AI306" s="97" t="s">
        <v>4502</v>
      </c>
      <c r="AJ306" s="115">
        <v>-372326</v>
      </c>
      <c r="AK306" s="97">
        <v>21</v>
      </c>
      <c r="AL306" s="97">
        <f t="shared" si="76"/>
        <v>835</v>
      </c>
      <c r="AM306" s="20">
        <f t="shared" si="75"/>
        <v>-310892210</v>
      </c>
      <c r="AN306" s="97"/>
    </row>
    <row r="307" spans="7:40">
      <c r="H307" s="9" t="s">
        <v>5379</v>
      </c>
      <c r="Q307" s="97" t="s">
        <v>4602</v>
      </c>
      <c r="R307" s="93">
        <v>4374525</v>
      </c>
      <c r="T307" s="19" t="s">
        <v>5267</v>
      </c>
      <c r="U307" s="19">
        <v>32049</v>
      </c>
      <c r="V307" s="115">
        <v>624.04600000000005</v>
      </c>
      <c r="W307" s="115">
        <f t="shared" si="73"/>
        <v>20000050.254000001</v>
      </c>
      <c r="X307" s="273" t="s">
        <v>5132</v>
      </c>
      <c r="Z307" t="s">
        <v>25</v>
      </c>
      <c r="AH307" s="97">
        <v>27</v>
      </c>
      <c r="AI307" s="97" t="s">
        <v>4549</v>
      </c>
      <c r="AJ307" s="115">
        <v>235062</v>
      </c>
      <c r="AK307" s="97">
        <v>0</v>
      </c>
      <c r="AL307" s="97">
        <f t="shared" si="76"/>
        <v>814</v>
      </c>
      <c r="AM307" s="20">
        <f t="shared" si="75"/>
        <v>191340468</v>
      </c>
      <c r="AN307" s="97"/>
    </row>
    <row r="308" spans="7:40" ht="30">
      <c r="H308" s="9" t="s">
        <v>5553</v>
      </c>
      <c r="Q308" s="97" t="s">
        <v>4604</v>
      </c>
      <c r="R308" s="93">
        <v>6550580</v>
      </c>
      <c r="T308" s="19" t="s">
        <v>5274</v>
      </c>
      <c r="U308" s="19">
        <v>45094</v>
      </c>
      <c r="V308" s="115">
        <v>614.13559759999998</v>
      </c>
      <c r="W308" s="115">
        <f t="shared" si="73"/>
        <v>27693830.6381744</v>
      </c>
      <c r="X308" s="273" t="s">
        <v>5276</v>
      </c>
      <c r="Y308" t="s">
        <v>25</v>
      </c>
      <c r="AH308" s="147">
        <v>28</v>
      </c>
      <c r="AI308" s="147" t="s">
        <v>4549</v>
      </c>
      <c r="AJ308" s="186">
        <v>235062</v>
      </c>
      <c r="AK308" s="147">
        <v>9</v>
      </c>
      <c r="AL308" s="97">
        <f t="shared" si="76"/>
        <v>814</v>
      </c>
      <c r="AM308" s="147">
        <f t="shared" si="75"/>
        <v>191340468</v>
      </c>
      <c r="AN308" s="147" t="s">
        <v>650</v>
      </c>
    </row>
    <row r="309" spans="7:40" ht="30">
      <c r="H309" s="309" t="s">
        <v>5554</v>
      </c>
      <c r="Q309" s="97" t="s">
        <v>4621</v>
      </c>
      <c r="R309" s="93">
        <v>7054895</v>
      </c>
      <c r="T309" s="19" t="s">
        <v>5301</v>
      </c>
      <c r="U309" s="19">
        <v>-11804</v>
      </c>
      <c r="V309" s="115">
        <v>762.46640000000002</v>
      </c>
      <c r="W309" s="115">
        <f t="shared" si="73"/>
        <v>-9000153.3856000006</v>
      </c>
      <c r="X309" s="273" t="s">
        <v>5303</v>
      </c>
      <c r="AH309" s="147">
        <v>29</v>
      </c>
      <c r="AI309" s="147" t="s">
        <v>4568</v>
      </c>
      <c r="AJ309" s="186">
        <v>450000</v>
      </c>
      <c r="AK309" s="147">
        <v>0</v>
      </c>
      <c r="AL309" s="97">
        <f t="shared" si="76"/>
        <v>805</v>
      </c>
      <c r="AM309" s="147">
        <f t="shared" si="75"/>
        <v>362250000</v>
      </c>
      <c r="AN309" s="147" t="s">
        <v>650</v>
      </c>
    </row>
    <row r="310" spans="7:40">
      <c r="H310" s="309" t="s">
        <v>744</v>
      </c>
      <c r="P310" t="s">
        <v>25</v>
      </c>
      <c r="Q310" s="97" t="s">
        <v>4632</v>
      </c>
      <c r="R310" s="93">
        <v>2145814</v>
      </c>
      <c r="T310" s="19" t="s">
        <v>5345</v>
      </c>
      <c r="U310" s="19">
        <v>844</v>
      </c>
      <c r="V310" s="115">
        <v>830</v>
      </c>
      <c r="W310" s="115">
        <f t="shared" si="73"/>
        <v>700520</v>
      </c>
      <c r="X310" s="273" t="s">
        <v>4409</v>
      </c>
      <c r="Y310" t="s">
        <v>25</v>
      </c>
      <c r="AH310" s="20">
        <v>30</v>
      </c>
      <c r="AI310" s="20" t="s">
        <v>4568</v>
      </c>
      <c r="AJ310" s="115">
        <v>450000</v>
      </c>
      <c r="AK310" s="20">
        <v>22</v>
      </c>
      <c r="AL310" s="97">
        <f>AK310+AL311</f>
        <v>805</v>
      </c>
      <c r="AM310" s="20">
        <f t="shared" si="75"/>
        <v>362250000</v>
      </c>
      <c r="AN310" s="20"/>
    </row>
    <row r="311" spans="7:40">
      <c r="H311" s="9" t="s">
        <v>5555</v>
      </c>
      <c r="P311" t="s">
        <v>25</v>
      </c>
      <c r="Q311" s="97" t="s">
        <v>4634</v>
      </c>
      <c r="R311" s="93">
        <v>4369730</v>
      </c>
      <c r="T311" s="19" t="s">
        <v>5349</v>
      </c>
      <c r="U311" s="19">
        <v>8662</v>
      </c>
      <c r="V311" s="115">
        <v>832.57011999999997</v>
      </c>
      <c r="W311" s="115">
        <f t="shared" si="73"/>
        <v>7211722.3794399993</v>
      </c>
      <c r="X311" s="273" t="s">
        <v>5127</v>
      </c>
      <c r="Z311" t="s">
        <v>25</v>
      </c>
      <c r="AA311" t="s">
        <v>25</v>
      </c>
      <c r="AH311" s="147">
        <v>31</v>
      </c>
      <c r="AI311" s="147" t="s">
        <v>4634</v>
      </c>
      <c r="AJ311" s="186">
        <v>300000</v>
      </c>
      <c r="AK311" s="147">
        <v>0</v>
      </c>
      <c r="AL311" s="147">
        <f t="shared" ref="AL311:AL326" si="77">AK311+AL312</f>
        <v>783</v>
      </c>
      <c r="AM311" s="147">
        <f t="shared" ref="AM311:AM320" si="78">AJ311*AL311</f>
        <v>234900000</v>
      </c>
      <c r="AN311" s="147"/>
    </row>
    <row r="312" spans="7:40" ht="30">
      <c r="H312" s="9" t="s">
        <v>5556</v>
      </c>
      <c r="Q312" s="97" t="s">
        <v>4643</v>
      </c>
      <c r="R312" s="93">
        <v>8739459</v>
      </c>
      <c r="T312" s="19" t="s">
        <v>5350</v>
      </c>
      <c r="U312" s="19">
        <v>10253</v>
      </c>
      <c r="V312" s="115">
        <v>827.2568</v>
      </c>
      <c r="W312" s="115">
        <f t="shared" si="73"/>
        <v>8481863.9704</v>
      </c>
      <c r="X312" s="273" t="s">
        <v>5357</v>
      </c>
      <c r="AH312" s="119">
        <v>32</v>
      </c>
      <c r="AI312" s="119" t="s">
        <v>4634</v>
      </c>
      <c r="AJ312" s="77">
        <v>288936</v>
      </c>
      <c r="AK312" s="119">
        <v>3</v>
      </c>
      <c r="AL312" s="119">
        <f t="shared" si="77"/>
        <v>783</v>
      </c>
      <c r="AM312" s="119">
        <f t="shared" si="78"/>
        <v>226236888</v>
      </c>
      <c r="AN312" s="202" t="s">
        <v>4645</v>
      </c>
    </row>
    <row r="313" spans="7:40">
      <c r="H313" s="9" t="s">
        <v>5584</v>
      </c>
      <c r="Q313" s="97" t="s">
        <v>3668</v>
      </c>
      <c r="R313" s="93">
        <v>6667654</v>
      </c>
      <c r="S313" s="112"/>
      <c r="T313" s="241" t="s">
        <v>5358</v>
      </c>
      <c r="U313" s="241">
        <v>-33077</v>
      </c>
      <c r="V313" s="242">
        <v>786.02973999999995</v>
      </c>
      <c r="W313" s="242">
        <f t="shared" si="73"/>
        <v>-25999505.70998</v>
      </c>
      <c r="X313" s="281" t="s">
        <v>5361</v>
      </c>
      <c r="AH313" s="119">
        <v>33</v>
      </c>
      <c r="AI313" s="119" t="s">
        <v>4643</v>
      </c>
      <c r="AJ313" s="77">
        <v>17962491</v>
      </c>
      <c r="AK313" s="119">
        <v>1</v>
      </c>
      <c r="AL313" s="119">
        <f t="shared" si="77"/>
        <v>780</v>
      </c>
      <c r="AM313" s="119">
        <f t="shared" si="78"/>
        <v>14010742980</v>
      </c>
      <c r="AN313" s="119" t="s">
        <v>4650</v>
      </c>
    </row>
    <row r="314" spans="7:40">
      <c r="H314" s="309"/>
      <c r="Q314" s="97" t="s">
        <v>4655</v>
      </c>
      <c r="R314" s="93">
        <v>8981245</v>
      </c>
      <c r="T314" s="19" t="s">
        <v>5358</v>
      </c>
      <c r="U314" s="19">
        <v>-33077</v>
      </c>
      <c r="V314" s="115">
        <v>786.02973999999995</v>
      </c>
      <c r="W314" s="115">
        <f t="shared" si="73"/>
        <v>-25999505.70998</v>
      </c>
      <c r="X314" s="273" t="s">
        <v>5362</v>
      </c>
      <c r="Y314" t="s">
        <v>25</v>
      </c>
      <c r="AH314" s="119">
        <v>34</v>
      </c>
      <c r="AI314" s="119" t="s">
        <v>3668</v>
      </c>
      <c r="AJ314" s="77">
        <v>18363511</v>
      </c>
      <c r="AK314" s="119">
        <v>1</v>
      </c>
      <c r="AL314" s="119">
        <f t="shared" si="77"/>
        <v>779</v>
      </c>
      <c r="AM314" s="119">
        <f t="shared" si="78"/>
        <v>14305175069</v>
      </c>
      <c r="AN314" s="119" t="s">
        <v>4650</v>
      </c>
    </row>
    <row r="315" spans="7:40">
      <c r="Q315" s="97" t="s">
        <v>4658</v>
      </c>
      <c r="R315" s="93">
        <v>9181756</v>
      </c>
      <c r="T315" s="19" t="s">
        <v>5358</v>
      </c>
      <c r="U315" s="19">
        <v>1983</v>
      </c>
      <c r="V315" s="115">
        <v>786.02973999999995</v>
      </c>
      <c r="W315" s="115">
        <f t="shared" si="73"/>
        <v>1558696.9744199999</v>
      </c>
      <c r="X315" s="273" t="s">
        <v>5127</v>
      </c>
      <c r="AH315" s="119">
        <v>35</v>
      </c>
      <c r="AI315" s="119" t="s">
        <v>4655</v>
      </c>
      <c r="AJ315" s="77">
        <v>23622417</v>
      </c>
      <c r="AK315" s="119">
        <v>5</v>
      </c>
      <c r="AL315" s="119">
        <f t="shared" si="77"/>
        <v>778</v>
      </c>
      <c r="AM315" s="119">
        <f t="shared" si="78"/>
        <v>18378240426</v>
      </c>
      <c r="AN315" s="119" t="s">
        <v>4657</v>
      </c>
    </row>
    <row r="316" spans="7:40">
      <c r="Q316" s="97" t="s">
        <v>4672</v>
      </c>
      <c r="R316" s="93">
        <v>11811208</v>
      </c>
      <c r="T316" s="241" t="s">
        <v>5363</v>
      </c>
      <c r="U316" s="241">
        <v>-119753</v>
      </c>
      <c r="V316" s="242">
        <v>800.81560000000002</v>
      </c>
      <c r="W316" s="242">
        <f t="shared" si="73"/>
        <v>-95900070.546800002</v>
      </c>
      <c r="X316" s="281" t="s">
        <v>5361</v>
      </c>
      <c r="AH316" s="119">
        <v>36</v>
      </c>
      <c r="AI316" s="119" t="s">
        <v>4670</v>
      </c>
      <c r="AJ316" s="77">
        <v>82496108</v>
      </c>
      <c r="AK316" s="119">
        <v>1</v>
      </c>
      <c r="AL316" s="119">
        <f t="shared" si="77"/>
        <v>773</v>
      </c>
      <c r="AM316" s="119">
        <f t="shared" si="78"/>
        <v>63769491484</v>
      </c>
      <c r="AN316" s="119" t="s">
        <v>4673</v>
      </c>
    </row>
    <row r="317" spans="7:40">
      <c r="Q317" s="97" t="s">
        <v>4679</v>
      </c>
      <c r="R317" s="93">
        <v>41248054</v>
      </c>
      <c r="T317" s="19" t="s">
        <v>5363</v>
      </c>
      <c r="U317" s="19">
        <v>-119753</v>
      </c>
      <c r="V317" s="115">
        <v>800.81560000000002</v>
      </c>
      <c r="W317" s="115">
        <f t="shared" si="73"/>
        <v>-95900070.546800002</v>
      </c>
      <c r="X317" s="273" t="s">
        <v>5362</v>
      </c>
      <c r="AA317" t="s">
        <v>25</v>
      </c>
      <c r="AH317" s="119">
        <v>37</v>
      </c>
      <c r="AI317" s="119" t="s">
        <v>4672</v>
      </c>
      <c r="AJ317" s="77">
        <v>74657561</v>
      </c>
      <c r="AK317" s="119">
        <v>16</v>
      </c>
      <c r="AL317" s="119">
        <f t="shared" si="77"/>
        <v>772</v>
      </c>
      <c r="AM317" s="119">
        <f t="shared" si="78"/>
        <v>57635637092</v>
      </c>
      <c r="AN317" s="119" t="s">
        <v>4678</v>
      </c>
    </row>
    <row r="318" spans="7:40">
      <c r="Q318" s="97" t="s">
        <v>4685</v>
      </c>
      <c r="R318" s="93">
        <v>37328780</v>
      </c>
      <c r="T318" s="19" t="s">
        <v>5363</v>
      </c>
      <c r="U318" s="19">
        <v>11291</v>
      </c>
      <c r="V318" s="115">
        <v>800.81560000000002</v>
      </c>
      <c r="W318" s="115">
        <f t="shared" si="73"/>
        <v>9042008.9396000002</v>
      </c>
      <c r="X318" s="273" t="s">
        <v>452</v>
      </c>
      <c r="AH318" s="97">
        <v>38</v>
      </c>
      <c r="AI318" s="97" t="s">
        <v>4744</v>
      </c>
      <c r="AJ318" s="115">
        <v>665000</v>
      </c>
      <c r="AK318" s="97">
        <v>0</v>
      </c>
      <c r="AL318" s="97">
        <f t="shared" si="77"/>
        <v>756</v>
      </c>
      <c r="AM318" s="20">
        <f t="shared" si="78"/>
        <v>502740000</v>
      </c>
      <c r="AN318" s="97"/>
    </row>
    <row r="319" spans="7:40">
      <c r="Q319" s="97" t="s">
        <v>4744</v>
      </c>
      <c r="R319" s="93">
        <v>50000000</v>
      </c>
      <c r="T319" s="187" t="s">
        <v>5364</v>
      </c>
      <c r="U319" s="187">
        <v>-35361</v>
      </c>
      <c r="V319" s="186">
        <v>818.697</v>
      </c>
      <c r="W319" s="186">
        <f t="shared" si="73"/>
        <v>-28949944.616999999</v>
      </c>
      <c r="X319" s="272" t="s">
        <v>5361</v>
      </c>
      <c r="Y319" t="s">
        <v>25</v>
      </c>
      <c r="AH319" s="147">
        <v>39</v>
      </c>
      <c r="AI319" s="147" t="s">
        <v>4744</v>
      </c>
      <c r="AJ319" s="186">
        <v>665000</v>
      </c>
      <c r="AK319" s="147">
        <v>4</v>
      </c>
      <c r="AL319" s="193">
        <f t="shared" si="77"/>
        <v>756</v>
      </c>
      <c r="AM319" s="193">
        <f t="shared" si="78"/>
        <v>502740000</v>
      </c>
      <c r="AN319" s="193"/>
    </row>
    <row r="320" spans="7:40">
      <c r="Q320" s="97" t="s">
        <v>4753</v>
      </c>
      <c r="R320" s="93">
        <v>68656</v>
      </c>
      <c r="T320" s="19" t="s">
        <v>5364</v>
      </c>
      <c r="U320" s="19">
        <v>-35361</v>
      </c>
      <c r="V320" s="115">
        <v>818.697</v>
      </c>
      <c r="W320" s="115">
        <f t="shared" si="73"/>
        <v>-28949944.616999999</v>
      </c>
      <c r="X320" s="273" t="s">
        <v>5362</v>
      </c>
      <c r="Y320" t="s">
        <v>25</v>
      </c>
      <c r="Z320" t="s">
        <v>25</v>
      </c>
      <c r="AH320" s="20">
        <v>40</v>
      </c>
      <c r="AI320" s="20" t="s">
        <v>4753</v>
      </c>
      <c r="AJ320" s="115">
        <v>2000000</v>
      </c>
      <c r="AK320" s="20">
        <v>1</v>
      </c>
      <c r="AL320" s="97">
        <f t="shared" si="77"/>
        <v>752</v>
      </c>
      <c r="AM320" s="20">
        <f t="shared" si="78"/>
        <v>1504000000</v>
      </c>
      <c r="AN320" s="97"/>
    </row>
    <row r="321" spans="17:44">
      <c r="Q321" s="97" t="s">
        <v>4753</v>
      </c>
      <c r="R321" s="93">
        <v>4000236</v>
      </c>
      <c r="T321" s="19" t="s">
        <v>5364</v>
      </c>
      <c r="U321" s="19">
        <v>116</v>
      </c>
      <c r="V321" s="115">
        <v>818.697</v>
      </c>
      <c r="W321" s="115">
        <f t="shared" si="73"/>
        <v>94968.851999999999</v>
      </c>
      <c r="X321" s="273" t="s">
        <v>5127</v>
      </c>
      <c r="AA321" t="s">
        <v>25</v>
      </c>
      <c r="AH321" s="20">
        <v>41</v>
      </c>
      <c r="AI321" s="20" t="s">
        <v>4758</v>
      </c>
      <c r="AJ321" s="115">
        <v>-2060725</v>
      </c>
      <c r="AK321" s="20">
        <v>0</v>
      </c>
      <c r="AL321" s="97">
        <f t="shared" si="77"/>
        <v>751</v>
      </c>
      <c r="AM321" s="20">
        <f t="shared" ref="AM321:AM326" si="79">AJ321*AL321</f>
        <v>-1547604475</v>
      </c>
      <c r="AN321" s="97" t="s">
        <v>4759</v>
      </c>
    </row>
    <row r="322" spans="17:44">
      <c r="Q322" s="97" t="s">
        <v>4758</v>
      </c>
      <c r="R322" s="93">
        <v>2250000</v>
      </c>
      <c r="T322" s="19" t="s">
        <v>5368</v>
      </c>
      <c r="U322" s="19">
        <v>48633</v>
      </c>
      <c r="V322" s="115">
        <v>822.47199999999998</v>
      </c>
      <c r="W322" s="115">
        <f t="shared" si="73"/>
        <v>39999280.776000001</v>
      </c>
      <c r="X322" s="273" t="s">
        <v>5371</v>
      </c>
      <c r="AH322" s="147">
        <v>42</v>
      </c>
      <c r="AI322" s="147" t="s">
        <v>4758</v>
      </c>
      <c r="AJ322" s="186">
        <v>-433375</v>
      </c>
      <c r="AK322" s="147">
        <v>0</v>
      </c>
      <c r="AL322" s="147">
        <f t="shared" si="77"/>
        <v>751</v>
      </c>
      <c r="AM322" s="147">
        <f t="shared" si="79"/>
        <v>-325464625</v>
      </c>
      <c r="AN322" s="147" t="s">
        <v>4760</v>
      </c>
    </row>
    <row r="323" spans="17:44">
      <c r="Q323" s="97" t="s">
        <v>4767</v>
      </c>
      <c r="R323" s="93">
        <v>-2512200</v>
      </c>
      <c r="T323" s="19" t="s">
        <v>5368</v>
      </c>
      <c r="U323" s="19">
        <v>3412</v>
      </c>
      <c r="V323" s="115">
        <v>822.47199999999998</v>
      </c>
      <c r="W323" s="115">
        <f t="shared" si="73"/>
        <v>2806274.4640000002</v>
      </c>
      <c r="X323" s="273" t="s">
        <v>5373</v>
      </c>
      <c r="AH323" s="20">
        <v>43</v>
      </c>
      <c r="AI323" s="20" t="s">
        <v>4758</v>
      </c>
      <c r="AJ323" s="115">
        <v>28000000</v>
      </c>
      <c r="AK323" s="20">
        <v>1</v>
      </c>
      <c r="AL323" s="97">
        <f t="shared" si="77"/>
        <v>751</v>
      </c>
      <c r="AM323" s="20">
        <f t="shared" si="79"/>
        <v>21028000000</v>
      </c>
      <c r="AN323" s="97" t="s">
        <v>3875</v>
      </c>
    </row>
    <row r="324" spans="17:44">
      <c r="Q324" s="97" t="s">
        <v>966</v>
      </c>
      <c r="R324" s="93">
        <v>300000</v>
      </c>
      <c r="T324" s="19" t="s">
        <v>5369</v>
      </c>
      <c r="U324" s="19">
        <v>1531</v>
      </c>
      <c r="V324" s="115">
        <v>869.82500000000005</v>
      </c>
      <c r="W324" s="115">
        <f t="shared" si="73"/>
        <v>1331702.075</v>
      </c>
      <c r="X324" s="273" t="s">
        <v>5374</v>
      </c>
      <c r="AH324" s="20">
        <v>44</v>
      </c>
      <c r="AI324" s="20" t="s">
        <v>4767</v>
      </c>
      <c r="AJ324" s="115">
        <v>160000</v>
      </c>
      <c r="AK324" s="20">
        <v>0</v>
      </c>
      <c r="AL324" s="97">
        <f t="shared" si="77"/>
        <v>750</v>
      </c>
      <c r="AM324" s="20">
        <f t="shared" si="79"/>
        <v>120000000</v>
      </c>
      <c r="AN324" s="97"/>
    </row>
    <row r="325" spans="17:44">
      <c r="Q325" s="97" t="s">
        <v>4774</v>
      </c>
      <c r="R325" s="93">
        <v>1100000</v>
      </c>
      <c r="T325" s="19" t="s">
        <v>5377</v>
      </c>
      <c r="U325" s="19">
        <v>1019</v>
      </c>
      <c r="V325" s="115">
        <v>835.36580000000004</v>
      </c>
      <c r="W325" s="115">
        <f t="shared" si="73"/>
        <v>851237.75020000001</v>
      </c>
      <c r="X325" s="273" t="s">
        <v>452</v>
      </c>
      <c r="AH325" s="147">
        <v>45</v>
      </c>
      <c r="AI325" s="147" t="s">
        <v>4767</v>
      </c>
      <c r="AJ325" s="186">
        <v>70000</v>
      </c>
      <c r="AK325" s="147">
        <v>9</v>
      </c>
      <c r="AL325" s="147">
        <f t="shared" si="77"/>
        <v>750</v>
      </c>
      <c r="AM325" s="147">
        <f t="shared" si="79"/>
        <v>52500000</v>
      </c>
      <c r="AN325" s="147"/>
    </row>
    <row r="326" spans="17:44">
      <c r="Q326" s="97" t="s">
        <v>4794</v>
      </c>
      <c r="R326" s="93">
        <v>890000</v>
      </c>
      <c r="T326" s="187" t="s">
        <v>5383</v>
      </c>
      <c r="U326" s="187">
        <v>2316</v>
      </c>
      <c r="V326" s="186">
        <v>818.697</v>
      </c>
      <c r="W326" s="186">
        <f t="shared" si="73"/>
        <v>1896102.2520000001</v>
      </c>
      <c r="X326" s="272" t="s">
        <v>5386</v>
      </c>
      <c r="AH326" s="20">
        <v>46</v>
      </c>
      <c r="AI326" s="20" t="s">
        <v>4774</v>
      </c>
      <c r="AJ326" s="115">
        <v>850000</v>
      </c>
      <c r="AK326" s="20">
        <v>0</v>
      </c>
      <c r="AL326" s="97">
        <f t="shared" si="77"/>
        <v>741</v>
      </c>
      <c r="AM326" s="20">
        <f t="shared" si="79"/>
        <v>629850000</v>
      </c>
      <c r="AN326" s="97"/>
    </row>
    <row r="327" spans="17:44">
      <c r="Q327" s="97" t="s">
        <v>4795</v>
      </c>
      <c r="R327" s="93">
        <v>1000000</v>
      </c>
      <c r="T327" s="19" t="s">
        <v>5389</v>
      </c>
      <c r="U327" s="19">
        <v>315</v>
      </c>
      <c r="V327" s="115">
        <v>680</v>
      </c>
      <c r="W327" s="115">
        <f t="shared" si="73"/>
        <v>214200</v>
      </c>
      <c r="X327" s="273" t="s">
        <v>5127</v>
      </c>
      <c r="AH327" s="193">
        <v>47</v>
      </c>
      <c r="AI327" s="193" t="s">
        <v>4774</v>
      </c>
      <c r="AJ327" s="194">
        <v>20000</v>
      </c>
      <c r="AK327" s="193">
        <v>4</v>
      </c>
      <c r="AL327" s="193">
        <f t="shared" ref="AL327:AL335" si="80">AK327+AL328</f>
        <v>741</v>
      </c>
      <c r="AM327" s="193">
        <f t="shared" ref="AM327:AM335" si="81">AJ327*AL327</f>
        <v>14820000</v>
      </c>
      <c r="AN327" s="193"/>
    </row>
    <row r="328" spans="17:44">
      <c r="Q328" s="97" t="s">
        <v>4795</v>
      </c>
      <c r="R328" s="93">
        <v>45436311</v>
      </c>
      <c r="T328" s="19" t="s">
        <v>5411</v>
      </c>
      <c r="U328" s="19">
        <v>832</v>
      </c>
      <c r="V328" s="115">
        <v>784.36500000000001</v>
      </c>
      <c r="W328" s="115">
        <f t="shared" si="73"/>
        <v>652591.68000000005</v>
      </c>
      <c r="X328" s="273" t="s">
        <v>5127</v>
      </c>
      <c r="Y328" t="s">
        <v>25</v>
      </c>
      <c r="AH328" s="193">
        <v>48</v>
      </c>
      <c r="AI328" s="193" t="s">
        <v>4787</v>
      </c>
      <c r="AJ328" s="194">
        <v>30000000</v>
      </c>
      <c r="AK328" s="193">
        <v>27</v>
      </c>
      <c r="AL328" s="193">
        <f t="shared" si="80"/>
        <v>737</v>
      </c>
      <c r="AM328" s="193">
        <f t="shared" si="81"/>
        <v>22110000000</v>
      </c>
      <c r="AN328" s="193" t="s">
        <v>4788</v>
      </c>
    </row>
    <row r="329" spans="17:44">
      <c r="Q329" s="97" t="s">
        <v>4807</v>
      </c>
      <c r="R329" s="93">
        <v>-3500000</v>
      </c>
      <c r="T329" s="19" t="s">
        <v>5457</v>
      </c>
      <c r="U329" s="19">
        <v>382</v>
      </c>
      <c r="V329" s="115">
        <v>1450.6065000000001</v>
      </c>
      <c r="W329" s="115">
        <f t="shared" si="73"/>
        <v>554131.68300000008</v>
      </c>
      <c r="X329" s="273" t="s">
        <v>5127</v>
      </c>
      <c r="Y329" t="s">
        <v>25</v>
      </c>
      <c r="AH329" s="20">
        <v>49</v>
      </c>
      <c r="AI329" s="20" t="s">
        <v>4860</v>
      </c>
      <c r="AJ329" s="115">
        <v>1100000</v>
      </c>
      <c r="AK329" s="20">
        <v>1</v>
      </c>
      <c r="AL329" s="20">
        <f t="shared" si="80"/>
        <v>710</v>
      </c>
      <c r="AM329" s="20">
        <f t="shared" si="81"/>
        <v>781000000</v>
      </c>
      <c r="AN329" s="20"/>
    </row>
    <row r="330" spans="17:44">
      <c r="Q330" s="97" t="s">
        <v>4842</v>
      </c>
      <c r="R330" s="93">
        <v>2520000</v>
      </c>
      <c r="T330" s="19" t="s">
        <v>5458</v>
      </c>
      <c r="U330" s="19">
        <v>50047</v>
      </c>
      <c r="V330" s="115">
        <v>1406.14</v>
      </c>
      <c r="W330" s="115">
        <f t="shared" si="73"/>
        <v>70373088.579999998</v>
      </c>
      <c r="X330" s="273" t="s">
        <v>5127</v>
      </c>
      <c r="Z330" t="s">
        <v>25</v>
      </c>
      <c r="AH330" s="20">
        <v>50</v>
      </c>
      <c r="AI330" s="20" t="s">
        <v>4861</v>
      </c>
      <c r="AJ330" s="115">
        <v>450000</v>
      </c>
      <c r="AK330" s="20">
        <v>0</v>
      </c>
      <c r="AL330" s="20">
        <f t="shared" si="80"/>
        <v>709</v>
      </c>
      <c r="AM330" s="20">
        <f t="shared" si="81"/>
        <v>319050000</v>
      </c>
      <c r="AN330" s="20"/>
    </row>
    <row r="331" spans="17:44">
      <c r="Q331" s="97" t="s">
        <v>4860</v>
      </c>
      <c r="R331" s="93">
        <v>4900000</v>
      </c>
      <c r="T331" s="19" t="s">
        <v>5459</v>
      </c>
      <c r="U331" s="19">
        <v>846</v>
      </c>
      <c r="V331" s="115">
        <v>1441.6724569999999</v>
      </c>
      <c r="W331" s="115">
        <f t="shared" si="73"/>
        <v>1219654.8986219999</v>
      </c>
      <c r="X331" s="273" t="s">
        <v>5127</v>
      </c>
      <c r="Y331" t="s">
        <v>25</v>
      </c>
      <c r="Z331" t="s">
        <v>25</v>
      </c>
      <c r="AH331" s="147">
        <v>51</v>
      </c>
      <c r="AI331" s="147" t="s">
        <v>4861</v>
      </c>
      <c r="AJ331" s="186">
        <v>550000</v>
      </c>
      <c r="AK331" s="147">
        <v>1</v>
      </c>
      <c r="AL331" s="147">
        <f t="shared" si="80"/>
        <v>709</v>
      </c>
      <c r="AM331" s="147">
        <f t="shared" si="81"/>
        <v>389950000</v>
      </c>
      <c r="AN331" s="147"/>
    </row>
    <row r="332" spans="17:44">
      <c r="Q332" s="97" t="s">
        <v>4814</v>
      </c>
      <c r="R332" s="93">
        <v>1150000</v>
      </c>
      <c r="T332" s="19" t="s">
        <v>5460</v>
      </c>
      <c r="U332" s="19">
        <v>10573</v>
      </c>
      <c r="V332" s="115">
        <v>1451.825</v>
      </c>
      <c r="W332" s="115">
        <f t="shared" si="73"/>
        <v>15350145.725</v>
      </c>
      <c r="X332" s="273" t="s">
        <v>5127</v>
      </c>
      <c r="Y332" t="s">
        <v>25</v>
      </c>
      <c r="AH332" s="147">
        <v>52</v>
      </c>
      <c r="AI332" s="147" t="s">
        <v>4863</v>
      </c>
      <c r="AJ332" s="186">
        <v>1000000</v>
      </c>
      <c r="AK332" s="147">
        <v>8</v>
      </c>
      <c r="AL332" s="147">
        <f t="shared" si="80"/>
        <v>708</v>
      </c>
      <c r="AM332" s="147">
        <f t="shared" si="81"/>
        <v>708000000</v>
      </c>
      <c r="AN332" s="147"/>
      <c r="AR332" t="s">
        <v>25</v>
      </c>
    </row>
    <row r="333" spans="17:44" ht="30">
      <c r="Q333" s="97" t="s">
        <v>4895</v>
      </c>
      <c r="R333" s="93">
        <v>250000</v>
      </c>
      <c r="T333" s="19" t="s">
        <v>5461</v>
      </c>
      <c r="U333" s="19">
        <v>85</v>
      </c>
      <c r="V333" s="115">
        <v>1423.74</v>
      </c>
      <c r="W333" s="115">
        <f t="shared" si="73"/>
        <v>121017.9</v>
      </c>
      <c r="X333" s="273" t="s">
        <v>5462</v>
      </c>
      <c r="Y333" t="s">
        <v>25</v>
      </c>
      <c r="AH333" s="20">
        <v>53</v>
      </c>
      <c r="AI333" s="20" t="s">
        <v>4872</v>
      </c>
      <c r="AJ333" s="115">
        <v>-2668880</v>
      </c>
      <c r="AK333" s="20">
        <v>0</v>
      </c>
      <c r="AL333" s="20">
        <f t="shared" si="80"/>
        <v>700</v>
      </c>
      <c r="AM333" s="20">
        <f t="shared" si="81"/>
        <v>-1868216000</v>
      </c>
      <c r="AN333" s="20" t="s">
        <v>4874</v>
      </c>
    </row>
    <row r="334" spans="17:44" ht="30">
      <c r="Q334" s="97" t="s">
        <v>4898</v>
      </c>
      <c r="R334" s="93">
        <v>1403460</v>
      </c>
      <c r="T334" s="19" t="s">
        <v>5465</v>
      </c>
      <c r="U334" s="19">
        <v>738</v>
      </c>
      <c r="V334" s="115">
        <v>1388.87895</v>
      </c>
      <c r="W334" s="115">
        <f t="shared" si="73"/>
        <v>1024992.6651</v>
      </c>
      <c r="X334" s="273" t="s">
        <v>5473</v>
      </c>
      <c r="Y334" t="s">
        <v>25</v>
      </c>
      <c r="AA334" t="s">
        <v>25</v>
      </c>
      <c r="AH334" s="147">
        <v>54</v>
      </c>
      <c r="AI334" s="147" t="s">
        <v>4872</v>
      </c>
      <c r="AJ334" s="186">
        <v>-1528620</v>
      </c>
      <c r="AK334" s="147">
        <v>0</v>
      </c>
      <c r="AL334" s="147">
        <f t="shared" si="80"/>
        <v>700</v>
      </c>
      <c r="AM334" s="147">
        <f t="shared" si="81"/>
        <v>-1070034000</v>
      </c>
      <c r="AN334" s="147" t="s">
        <v>4874</v>
      </c>
    </row>
    <row r="335" spans="17:44">
      <c r="Q335" s="97" t="s">
        <v>4903</v>
      </c>
      <c r="R335" s="93">
        <v>200000</v>
      </c>
      <c r="T335" s="19" t="s">
        <v>5481</v>
      </c>
      <c r="U335" s="19">
        <v>1442</v>
      </c>
      <c r="V335" s="115">
        <v>1350.9547279999999</v>
      </c>
      <c r="W335" s="115">
        <f t="shared" si="73"/>
        <v>1948076.7177759998</v>
      </c>
      <c r="X335" s="273" t="s">
        <v>5127</v>
      </c>
      <c r="AH335" s="20">
        <v>55</v>
      </c>
      <c r="AI335" s="20" t="s">
        <v>4872</v>
      </c>
      <c r="AJ335" s="115">
        <v>50000000</v>
      </c>
      <c r="AK335" s="20">
        <v>4</v>
      </c>
      <c r="AL335" s="20">
        <f t="shared" si="80"/>
        <v>700</v>
      </c>
      <c r="AM335" s="20">
        <f t="shared" si="81"/>
        <v>35000000000</v>
      </c>
      <c r="AN335" s="20"/>
    </row>
    <row r="336" spans="17:44">
      <c r="Q336" s="97" t="s">
        <v>4908</v>
      </c>
      <c r="R336" s="93">
        <v>345000</v>
      </c>
      <c r="T336" s="19" t="s">
        <v>5482</v>
      </c>
      <c r="U336" s="19">
        <v>36847</v>
      </c>
      <c r="V336" s="115">
        <v>1356.9658300000001</v>
      </c>
      <c r="W336" s="115">
        <f t="shared" si="73"/>
        <v>50000119.938010007</v>
      </c>
      <c r="X336" s="273" t="s">
        <v>5132</v>
      </c>
      <c r="AA336" t="s">
        <v>25</v>
      </c>
      <c r="AH336" s="20">
        <v>56</v>
      </c>
      <c r="AI336" s="20" t="s">
        <v>4878</v>
      </c>
      <c r="AJ336" s="115">
        <v>400000</v>
      </c>
      <c r="AK336" s="20">
        <v>4</v>
      </c>
      <c r="AL336" s="20">
        <f t="shared" ref="AL336:AL345" si="82">AK336+AL337</f>
        <v>696</v>
      </c>
      <c r="AM336" s="20">
        <f t="shared" ref="AM336:AM345" si="83">AJ336*AL336</f>
        <v>278400000</v>
      </c>
      <c r="AN336" s="20"/>
      <c r="AR336" t="s">
        <v>25</v>
      </c>
    </row>
    <row r="337" spans="17:46" ht="30">
      <c r="Q337" s="97" t="s">
        <v>4911</v>
      </c>
      <c r="R337" s="93">
        <v>900000</v>
      </c>
      <c r="T337" s="19" t="s">
        <v>5483</v>
      </c>
      <c r="U337" s="19">
        <v>13738</v>
      </c>
      <c r="V337" s="115">
        <v>1455.82</v>
      </c>
      <c r="W337" s="115">
        <f t="shared" si="73"/>
        <v>20000055.16</v>
      </c>
      <c r="X337" s="273" t="s">
        <v>5500</v>
      </c>
      <c r="Y337" t="s">
        <v>25</v>
      </c>
      <c r="AH337" s="20">
        <v>57</v>
      </c>
      <c r="AI337" s="20" t="s">
        <v>4888</v>
      </c>
      <c r="AJ337" s="115">
        <v>2000000</v>
      </c>
      <c r="AK337" s="20">
        <v>3</v>
      </c>
      <c r="AL337" s="20">
        <f t="shared" si="82"/>
        <v>692</v>
      </c>
      <c r="AM337" s="20">
        <f t="shared" si="83"/>
        <v>1384000000</v>
      </c>
      <c r="AN337" s="20"/>
      <c r="AS337" t="s">
        <v>25</v>
      </c>
    </row>
    <row r="338" spans="17:46">
      <c r="Q338" s="97" t="s">
        <v>4919</v>
      </c>
      <c r="R338" s="93">
        <v>372517</v>
      </c>
      <c r="T338" s="19" t="s">
        <v>5508</v>
      </c>
      <c r="U338" s="19">
        <v>3100</v>
      </c>
      <c r="V338" s="115">
        <v>1853.4507470000001</v>
      </c>
      <c r="W338" s="115">
        <f t="shared" si="73"/>
        <v>5745697.3157000002</v>
      </c>
      <c r="X338" s="273" t="s">
        <v>5127</v>
      </c>
      <c r="Y338" t="s">
        <v>25</v>
      </c>
      <c r="AH338" s="20">
        <v>58</v>
      </c>
      <c r="AI338" s="20" t="s">
        <v>4891</v>
      </c>
      <c r="AJ338" s="115">
        <v>100000</v>
      </c>
      <c r="AK338" s="20">
        <v>4</v>
      </c>
      <c r="AL338" s="20">
        <f t="shared" si="82"/>
        <v>689</v>
      </c>
      <c r="AM338" s="20">
        <f t="shared" si="83"/>
        <v>68900000</v>
      </c>
      <c r="AN338" s="20" t="s">
        <v>3875</v>
      </c>
      <c r="AR338" t="s">
        <v>25</v>
      </c>
      <c r="AT338" s="94" t="s">
        <v>25</v>
      </c>
    </row>
    <row r="339" spans="17:46">
      <c r="Q339" s="97" t="s">
        <v>4954</v>
      </c>
      <c r="R339" s="93">
        <v>6489257</v>
      </c>
      <c r="T339" s="19" t="s">
        <v>5509</v>
      </c>
      <c r="U339" s="19">
        <v>480</v>
      </c>
      <c r="V339" s="115">
        <v>1891.9962069999999</v>
      </c>
      <c r="W339" s="115">
        <f t="shared" si="73"/>
        <v>908158.17935999995</v>
      </c>
      <c r="X339" s="273" t="s">
        <v>5127</v>
      </c>
      <c r="Y339" t="s">
        <v>25</v>
      </c>
      <c r="AH339" s="20">
        <v>59</v>
      </c>
      <c r="AI339" s="20" t="s">
        <v>4898</v>
      </c>
      <c r="AJ339" s="115">
        <v>100000</v>
      </c>
      <c r="AK339" s="20">
        <v>7</v>
      </c>
      <c r="AL339" s="20">
        <f t="shared" si="82"/>
        <v>685</v>
      </c>
      <c r="AM339" s="20">
        <f t="shared" si="83"/>
        <v>68500000</v>
      </c>
      <c r="AN339" s="20"/>
      <c r="AS339" t="s">
        <v>25</v>
      </c>
    </row>
    <row r="340" spans="17:46">
      <c r="Q340" s="97" t="s">
        <v>4965</v>
      </c>
      <c r="R340" s="93">
        <v>618000</v>
      </c>
      <c r="S340" s="112"/>
      <c r="T340" s="19" t="s">
        <v>5510</v>
      </c>
      <c r="U340" s="19">
        <v>6522</v>
      </c>
      <c r="V340" s="115">
        <v>1938.4694340000001</v>
      </c>
      <c r="W340" s="115">
        <f t="shared" si="73"/>
        <v>12642697.648548001</v>
      </c>
      <c r="X340" s="273" t="s">
        <v>5127</v>
      </c>
      <c r="AA340" t="s">
        <v>25</v>
      </c>
      <c r="AH340" s="20">
        <v>60</v>
      </c>
      <c r="AI340" s="20" t="s">
        <v>4911</v>
      </c>
      <c r="AJ340" s="115">
        <v>50000</v>
      </c>
      <c r="AK340" s="20">
        <v>0</v>
      </c>
      <c r="AL340" s="20">
        <f t="shared" si="82"/>
        <v>678</v>
      </c>
      <c r="AM340" s="20">
        <f t="shared" si="83"/>
        <v>33900000</v>
      </c>
      <c r="AN340" s="20"/>
    </row>
    <row r="341" spans="17:46">
      <c r="Q341" s="97" t="s">
        <v>4969</v>
      </c>
      <c r="R341" s="93">
        <v>20105000</v>
      </c>
      <c r="T341" s="19" t="s">
        <v>5511</v>
      </c>
      <c r="U341" s="19">
        <v>6197</v>
      </c>
      <c r="V341" s="115">
        <v>1984.3985499999999</v>
      </c>
      <c r="W341" s="115">
        <f t="shared" si="73"/>
        <v>12297317.81435</v>
      </c>
      <c r="X341" s="273" t="s">
        <v>5127</v>
      </c>
      <c r="AA341" t="s">
        <v>25</v>
      </c>
      <c r="AH341" s="147">
        <v>61</v>
      </c>
      <c r="AI341" s="147" t="s">
        <v>4911</v>
      </c>
      <c r="AJ341" s="186">
        <v>50000</v>
      </c>
      <c r="AK341" s="147">
        <v>3</v>
      </c>
      <c r="AL341" s="147">
        <f t="shared" si="82"/>
        <v>678</v>
      </c>
      <c r="AM341" s="147">
        <f t="shared" si="83"/>
        <v>33900000</v>
      </c>
      <c r="AN341" s="147"/>
    </row>
    <row r="342" spans="17:46">
      <c r="Q342" s="97" t="s">
        <v>4970</v>
      </c>
      <c r="R342" s="93">
        <v>-21079990</v>
      </c>
      <c r="T342" s="19" t="s">
        <v>5512</v>
      </c>
      <c r="U342" s="19">
        <v>4646</v>
      </c>
      <c r="V342" s="115">
        <v>1928.464023</v>
      </c>
      <c r="W342" s="115">
        <f t="shared" si="73"/>
        <v>8959643.8508579992</v>
      </c>
      <c r="X342" s="273" t="s">
        <v>5127</v>
      </c>
      <c r="Z342" t="s">
        <v>25</v>
      </c>
      <c r="AH342" s="20">
        <v>62</v>
      </c>
      <c r="AI342" s="20" t="s">
        <v>4914</v>
      </c>
      <c r="AJ342" s="115">
        <v>50000</v>
      </c>
      <c r="AK342" s="20">
        <v>0</v>
      </c>
      <c r="AL342" s="20">
        <f t="shared" si="82"/>
        <v>675</v>
      </c>
      <c r="AM342" s="20">
        <f t="shared" si="83"/>
        <v>33750000</v>
      </c>
      <c r="AN342" s="20"/>
    </row>
    <row r="343" spans="17:46">
      <c r="Q343" s="97" t="s">
        <v>4976</v>
      </c>
      <c r="R343" s="93">
        <v>-5949277</v>
      </c>
      <c r="T343" s="19" t="s">
        <v>5513</v>
      </c>
      <c r="U343" s="19">
        <v>7668</v>
      </c>
      <c r="V343" s="115">
        <v>1976.2774959999999</v>
      </c>
      <c r="W343" s="115">
        <f t="shared" si="73"/>
        <v>15154095.839328</v>
      </c>
      <c r="X343" s="273" t="s">
        <v>5127</v>
      </c>
      <c r="AH343" s="193">
        <v>63</v>
      </c>
      <c r="AI343" s="193" t="s">
        <v>4914</v>
      </c>
      <c r="AJ343" s="194">
        <v>50000</v>
      </c>
      <c r="AK343" s="193">
        <v>2</v>
      </c>
      <c r="AL343" s="193">
        <f t="shared" si="82"/>
        <v>675</v>
      </c>
      <c r="AM343" s="193">
        <f t="shared" si="83"/>
        <v>33750000</v>
      </c>
      <c r="AN343" s="193"/>
    </row>
    <row r="344" spans="17:46" ht="30">
      <c r="Q344" s="97" t="s">
        <v>4982</v>
      </c>
      <c r="R344" s="93">
        <v>-15370656</v>
      </c>
      <c r="T344" s="19" t="s">
        <v>5523</v>
      </c>
      <c r="U344" s="19">
        <v>-43325</v>
      </c>
      <c r="V344" s="115">
        <v>2146.5548840000001</v>
      </c>
      <c r="W344" s="115">
        <f t="shared" si="73"/>
        <v>-92999490.349300012</v>
      </c>
      <c r="X344" s="273" t="s">
        <v>5524</v>
      </c>
      <c r="Y344" t="s">
        <v>25</v>
      </c>
      <c r="AH344" s="20">
        <v>64</v>
      </c>
      <c r="AI344" s="20" t="s">
        <v>4921</v>
      </c>
      <c r="AJ344" s="115">
        <v>25000</v>
      </c>
      <c r="AK344" s="20">
        <v>0</v>
      </c>
      <c r="AL344" s="20">
        <f t="shared" si="82"/>
        <v>673</v>
      </c>
      <c r="AM344" s="20">
        <f t="shared" si="83"/>
        <v>16825000</v>
      </c>
      <c r="AN344" s="20"/>
    </row>
    <row r="345" spans="17:46">
      <c r="Q345" s="97" t="s">
        <v>4982</v>
      </c>
      <c r="R345" s="93">
        <v>4960000</v>
      </c>
      <c r="T345" s="19" t="s">
        <v>5531</v>
      </c>
      <c r="U345" s="19">
        <v>20888</v>
      </c>
      <c r="V345" s="115">
        <v>2428.4521530000002</v>
      </c>
      <c r="W345" s="115">
        <f t="shared" si="73"/>
        <v>50725508.571864001</v>
      </c>
      <c r="X345" s="273" t="s">
        <v>5127</v>
      </c>
      <c r="AH345" s="147">
        <v>65</v>
      </c>
      <c r="AI345" s="147" t="s">
        <v>4921</v>
      </c>
      <c r="AJ345" s="186">
        <v>35000</v>
      </c>
      <c r="AK345" s="147">
        <v>7</v>
      </c>
      <c r="AL345" s="147">
        <f t="shared" si="82"/>
        <v>673</v>
      </c>
      <c r="AM345" s="147">
        <f t="shared" si="83"/>
        <v>23555000</v>
      </c>
      <c r="AN345" s="147"/>
    </row>
    <row r="346" spans="17:46">
      <c r="Q346" s="97" t="s">
        <v>4989</v>
      </c>
      <c r="R346" s="93">
        <v>10000000</v>
      </c>
      <c r="T346" s="19" t="s">
        <v>5532</v>
      </c>
      <c r="U346" s="19">
        <v>21663</v>
      </c>
      <c r="V346" s="115">
        <v>2308.0067819999999</v>
      </c>
      <c r="W346" s="115">
        <f t="shared" si="73"/>
        <v>49998350.918466002</v>
      </c>
      <c r="X346" s="273" t="s">
        <v>5535</v>
      </c>
      <c r="Y346" t="s">
        <v>25</v>
      </c>
      <c r="AH346" s="147">
        <v>66</v>
      </c>
      <c r="AI346" s="147" t="s">
        <v>4929</v>
      </c>
      <c r="AJ346" s="186">
        <v>30000000</v>
      </c>
      <c r="AK346" s="147">
        <v>0</v>
      </c>
      <c r="AL346" s="147">
        <f t="shared" ref="AL346:AL365" si="84">AK346+AL347</f>
        <v>666</v>
      </c>
      <c r="AM346" s="147">
        <f t="shared" ref="AM346:AM365" si="85">AJ346*AL346</f>
        <v>19980000000</v>
      </c>
      <c r="AN346" s="147"/>
    </row>
    <row r="347" spans="17:46">
      <c r="Q347" s="97" t="s">
        <v>4998</v>
      </c>
      <c r="R347" s="93">
        <v>-40570100</v>
      </c>
      <c r="T347" s="19" t="s">
        <v>5532</v>
      </c>
      <c r="U347" s="19">
        <v>977</v>
      </c>
      <c r="V347" s="115">
        <v>2335.6821479999999</v>
      </c>
      <c r="W347" s="115">
        <f t="shared" si="73"/>
        <v>2281961.458596</v>
      </c>
      <c r="X347" s="273" t="s">
        <v>5127</v>
      </c>
      <c r="AH347" s="20">
        <v>67</v>
      </c>
      <c r="AI347" s="20" t="s">
        <v>4929</v>
      </c>
      <c r="AJ347" s="115">
        <v>6800000</v>
      </c>
      <c r="AK347" s="20">
        <v>1</v>
      </c>
      <c r="AL347" s="20">
        <f t="shared" si="84"/>
        <v>666</v>
      </c>
      <c r="AM347" s="20">
        <f t="shared" si="85"/>
        <v>4528800000</v>
      </c>
      <c r="AN347" s="20"/>
    </row>
    <row r="348" spans="17:46">
      <c r="Q348" s="97" t="s">
        <v>4999</v>
      </c>
      <c r="R348" s="93">
        <v>1000000</v>
      </c>
      <c r="T348" s="19" t="s">
        <v>5539</v>
      </c>
      <c r="U348" s="19">
        <v>4155</v>
      </c>
      <c r="V348" s="115">
        <v>2647</v>
      </c>
      <c r="W348" s="115">
        <f t="shared" si="73"/>
        <v>10998285</v>
      </c>
      <c r="X348" s="273" t="s">
        <v>5127</v>
      </c>
      <c r="AH348" s="20">
        <v>68</v>
      </c>
      <c r="AI348" s="20" t="s">
        <v>4932</v>
      </c>
      <c r="AJ348" s="115">
        <v>500000</v>
      </c>
      <c r="AK348" s="20">
        <v>1</v>
      </c>
      <c r="AL348" s="20">
        <f t="shared" si="84"/>
        <v>665</v>
      </c>
      <c r="AM348" s="20">
        <f t="shared" si="85"/>
        <v>332500000</v>
      </c>
      <c r="AN348" s="20"/>
    </row>
    <row r="349" spans="17:46">
      <c r="Q349" s="97" t="s">
        <v>5006</v>
      </c>
      <c r="R349" s="93">
        <v>400000</v>
      </c>
      <c r="S349" t="s">
        <v>25</v>
      </c>
      <c r="T349" s="19" t="s">
        <v>5540</v>
      </c>
      <c r="U349" s="19">
        <v>351</v>
      </c>
      <c r="V349" s="115">
        <v>2800.6238229999999</v>
      </c>
      <c r="W349" s="115">
        <f t="shared" si="73"/>
        <v>983018.96187300002</v>
      </c>
      <c r="X349" s="273" t="s">
        <v>5127</v>
      </c>
      <c r="Y349" t="s">
        <v>25</v>
      </c>
      <c r="AH349" s="20">
        <v>69</v>
      </c>
      <c r="AI349" s="20" t="s">
        <v>4938</v>
      </c>
      <c r="AJ349" s="115">
        <v>850000</v>
      </c>
      <c r="AK349" s="20">
        <v>5</v>
      </c>
      <c r="AL349" s="20">
        <f t="shared" si="84"/>
        <v>664</v>
      </c>
      <c r="AM349" s="20">
        <f t="shared" si="85"/>
        <v>564400000</v>
      </c>
      <c r="AN349" s="20"/>
    </row>
    <row r="350" spans="17:46">
      <c r="Q350" s="97" t="s">
        <v>5020</v>
      </c>
      <c r="R350" s="93">
        <v>120000</v>
      </c>
      <c r="T350" s="19" t="s">
        <v>5542</v>
      </c>
      <c r="U350" s="19">
        <v>5877</v>
      </c>
      <c r="V350" s="115">
        <v>2901.0160000000001</v>
      </c>
      <c r="W350" s="115">
        <f t="shared" si="73"/>
        <v>17049271.032000002</v>
      </c>
      <c r="X350" s="273" t="s">
        <v>5127</v>
      </c>
      <c r="Y350" t="s">
        <v>25</v>
      </c>
      <c r="AH350" s="20">
        <v>70</v>
      </c>
      <c r="AI350" s="20" t="s">
        <v>4946</v>
      </c>
      <c r="AJ350" s="115">
        <v>1130250</v>
      </c>
      <c r="AK350" s="20">
        <v>0</v>
      </c>
      <c r="AL350" s="20">
        <f t="shared" si="84"/>
        <v>659</v>
      </c>
      <c r="AM350" s="20">
        <f t="shared" si="85"/>
        <v>744834750</v>
      </c>
      <c r="AN350" s="20"/>
    </row>
    <row r="351" spans="17:46">
      <c r="Q351" s="97" t="s">
        <v>5011</v>
      </c>
      <c r="R351" s="93">
        <v>500000</v>
      </c>
      <c r="T351" s="19" t="s">
        <v>5545</v>
      </c>
      <c r="U351" s="19">
        <v>2374</v>
      </c>
      <c r="V351" s="115">
        <v>2877</v>
      </c>
      <c r="W351" s="115">
        <f t="shared" ref="W351:W388" si="86">U351*V351</f>
        <v>6829998</v>
      </c>
      <c r="X351" s="273" t="s">
        <v>5127</v>
      </c>
      <c r="AH351" s="251">
        <v>71</v>
      </c>
      <c r="AI351" s="251" t="s">
        <v>4946</v>
      </c>
      <c r="AJ351" s="242">
        <v>30000</v>
      </c>
      <c r="AK351" s="251">
        <v>5</v>
      </c>
      <c r="AL351" s="251">
        <f t="shared" si="84"/>
        <v>659</v>
      </c>
      <c r="AM351" s="251">
        <f t="shared" si="85"/>
        <v>19770000</v>
      </c>
      <c r="AN351" s="251"/>
    </row>
    <row r="352" spans="17:46">
      <c r="Q352" s="97" t="s">
        <v>5036</v>
      </c>
      <c r="R352" s="93">
        <v>744000</v>
      </c>
      <c r="T352" s="19" t="s">
        <v>4212</v>
      </c>
      <c r="U352" s="19">
        <v>2532</v>
      </c>
      <c r="V352" s="115">
        <v>2757.7444</v>
      </c>
      <c r="W352" s="115">
        <f t="shared" si="86"/>
        <v>6982608.8207999999</v>
      </c>
      <c r="X352" s="273" t="s">
        <v>5127</v>
      </c>
      <c r="AH352" s="20">
        <v>72</v>
      </c>
      <c r="AI352" s="20" t="s">
        <v>4954</v>
      </c>
      <c r="AJ352" s="115">
        <v>206000</v>
      </c>
      <c r="AK352" s="20">
        <v>0</v>
      </c>
      <c r="AL352" s="20">
        <f t="shared" si="84"/>
        <v>654</v>
      </c>
      <c r="AM352" s="20">
        <f t="shared" si="85"/>
        <v>134724000</v>
      </c>
      <c r="AN352" s="20"/>
    </row>
    <row r="353" spans="17:45">
      <c r="Q353" s="97" t="s">
        <v>5041</v>
      </c>
      <c r="R353" s="93">
        <v>65000</v>
      </c>
      <c r="T353" s="19" t="s">
        <v>4212</v>
      </c>
      <c r="U353" s="19">
        <v>4987</v>
      </c>
      <c r="V353" s="115">
        <v>2757.7444</v>
      </c>
      <c r="W353" s="115">
        <f t="shared" si="86"/>
        <v>13752871.322800001</v>
      </c>
      <c r="X353" s="273" t="s">
        <v>5561</v>
      </c>
      <c r="Y353" t="s">
        <v>25</v>
      </c>
      <c r="AH353" s="147">
        <v>73</v>
      </c>
      <c r="AI353" s="147" t="s">
        <v>4954</v>
      </c>
      <c r="AJ353" s="186">
        <v>206000</v>
      </c>
      <c r="AK353" s="147">
        <v>2</v>
      </c>
      <c r="AL353" s="147">
        <f t="shared" si="84"/>
        <v>654</v>
      </c>
      <c r="AM353" s="147">
        <f t="shared" si="85"/>
        <v>134724000</v>
      </c>
      <c r="AN353" s="147"/>
    </row>
    <row r="354" spans="17:45">
      <c r="Q354" s="97" t="s">
        <v>5012</v>
      </c>
      <c r="R354" s="93">
        <v>-14053702</v>
      </c>
      <c r="T354" s="19" t="s">
        <v>4212</v>
      </c>
      <c r="U354" s="19">
        <v>997</v>
      </c>
      <c r="V354" s="115">
        <v>2757.7444</v>
      </c>
      <c r="W354" s="115">
        <f t="shared" si="86"/>
        <v>2749471.1668000002</v>
      </c>
      <c r="X354" s="273" t="s">
        <v>5562</v>
      </c>
      <c r="AH354" s="20">
        <v>74</v>
      </c>
      <c r="AI354" s="20" t="s">
        <v>4961</v>
      </c>
      <c r="AJ354" s="115">
        <v>50000</v>
      </c>
      <c r="AK354" s="20">
        <v>0</v>
      </c>
      <c r="AL354" s="20">
        <f t="shared" si="84"/>
        <v>652</v>
      </c>
      <c r="AM354" s="20">
        <f t="shared" si="85"/>
        <v>32600000</v>
      </c>
      <c r="AN354" s="20"/>
    </row>
    <row r="355" spans="17:45">
      <c r="Q355" s="97" t="s">
        <v>5077</v>
      </c>
      <c r="R355" s="93">
        <v>3555678</v>
      </c>
      <c r="T355" s="19" t="s">
        <v>5566</v>
      </c>
      <c r="U355" s="19">
        <v>2874</v>
      </c>
      <c r="V355" s="115">
        <v>2613.1284000000001</v>
      </c>
      <c r="W355" s="115">
        <f t="shared" si="86"/>
        <v>7510131.0216000006</v>
      </c>
      <c r="X355" s="273" t="s">
        <v>5127</v>
      </c>
      <c r="AH355" s="251">
        <v>75</v>
      </c>
      <c r="AI355" s="251" t="s">
        <v>4961</v>
      </c>
      <c r="AJ355" s="242">
        <v>50000</v>
      </c>
      <c r="AK355" s="251">
        <v>2</v>
      </c>
      <c r="AL355" s="251">
        <f t="shared" si="84"/>
        <v>652</v>
      </c>
      <c r="AM355" s="251">
        <f t="shared" si="85"/>
        <v>32600000</v>
      </c>
      <c r="AN355" s="251"/>
    </row>
    <row r="356" spans="17:45">
      <c r="Q356" s="97" t="s">
        <v>5082</v>
      </c>
      <c r="R356" s="93">
        <v>3495</v>
      </c>
      <c r="T356" s="19" t="s">
        <v>5572</v>
      </c>
      <c r="U356" s="19">
        <v>2847</v>
      </c>
      <c r="V356" s="115">
        <v>2556.3841000000002</v>
      </c>
      <c r="W356" s="115">
        <f t="shared" si="86"/>
        <v>7278025.5327000003</v>
      </c>
      <c r="X356" s="273" t="s">
        <v>5127</v>
      </c>
      <c r="AH356" s="20">
        <v>76</v>
      </c>
      <c r="AI356" s="20" t="s">
        <v>4965</v>
      </c>
      <c r="AJ356" s="115">
        <v>20000000</v>
      </c>
      <c r="AK356" s="20">
        <v>7</v>
      </c>
      <c r="AL356" s="20">
        <f t="shared" si="84"/>
        <v>650</v>
      </c>
      <c r="AM356" s="20">
        <f t="shared" si="85"/>
        <v>13000000000</v>
      </c>
      <c r="AN356" s="20" t="s">
        <v>4966</v>
      </c>
    </row>
    <row r="357" spans="17:45">
      <c r="Q357" s="97" t="s">
        <v>5084</v>
      </c>
      <c r="R357" s="93">
        <v>6000000</v>
      </c>
      <c r="T357" s="19" t="s">
        <v>5572</v>
      </c>
      <c r="U357" s="19">
        <v>1222</v>
      </c>
      <c r="V357" s="115">
        <v>2556.3841000000002</v>
      </c>
      <c r="W357" s="115">
        <f t="shared" si="86"/>
        <v>3123901.3702000002</v>
      </c>
      <c r="X357" s="273" t="s">
        <v>5573</v>
      </c>
      <c r="AH357" s="20">
        <v>77</v>
      </c>
      <c r="AI357" s="20" t="s">
        <v>4976</v>
      </c>
      <c r="AJ357" s="115">
        <v>50000</v>
      </c>
      <c r="AK357" s="20">
        <v>0</v>
      </c>
      <c r="AL357" s="20">
        <f t="shared" si="84"/>
        <v>643</v>
      </c>
      <c r="AM357" s="20">
        <f t="shared" si="85"/>
        <v>32150000</v>
      </c>
      <c r="AN357" s="20"/>
    </row>
    <row r="358" spans="17:45" ht="18" customHeight="1">
      <c r="Q358" s="97" t="s">
        <v>5085</v>
      </c>
      <c r="R358" s="93">
        <v>17220</v>
      </c>
      <c r="T358" s="19" t="s">
        <v>5581</v>
      </c>
      <c r="U358" s="19">
        <v>73</v>
      </c>
      <c r="V358" s="115">
        <v>2672.0459999999998</v>
      </c>
      <c r="W358" s="115">
        <f t="shared" si="86"/>
        <v>195059.35799999998</v>
      </c>
      <c r="X358" s="273" t="s">
        <v>5127</v>
      </c>
      <c r="AH358" s="147">
        <v>78</v>
      </c>
      <c r="AI358" s="147" t="s">
        <v>4976</v>
      </c>
      <c r="AJ358" s="186">
        <v>50000</v>
      </c>
      <c r="AK358" s="147">
        <v>7</v>
      </c>
      <c r="AL358" s="147">
        <f t="shared" si="84"/>
        <v>643</v>
      </c>
      <c r="AM358" s="147">
        <f t="shared" si="85"/>
        <v>32150000</v>
      </c>
      <c r="AN358" s="147"/>
      <c r="AS358" t="s">
        <v>25</v>
      </c>
    </row>
    <row r="359" spans="17:45" ht="21" customHeight="1">
      <c r="Q359" s="97" t="s">
        <v>5087</v>
      </c>
      <c r="R359" s="93">
        <v>8249</v>
      </c>
      <c r="T359" s="19" t="s">
        <v>5586</v>
      </c>
      <c r="U359" s="19">
        <v>332</v>
      </c>
      <c r="V359" s="115">
        <v>2598.1260000000002</v>
      </c>
      <c r="W359" s="115">
        <f t="shared" si="86"/>
        <v>862577.83200000005</v>
      </c>
      <c r="X359" s="273" t="s">
        <v>5587</v>
      </c>
      <c r="Y359" t="s">
        <v>25</v>
      </c>
      <c r="Z359" t="s">
        <v>25</v>
      </c>
      <c r="AH359" s="20">
        <v>79</v>
      </c>
      <c r="AI359" s="20" t="s">
        <v>4982</v>
      </c>
      <c r="AJ359" s="115">
        <v>2480000</v>
      </c>
      <c r="AK359" s="20">
        <v>0</v>
      </c>
      <c r="AL359" s="20">
        <f t="shared" si="84"/>
        <v>636</v>
      </c>
      <c r="AM359" s="20">
        <f t="shared" si="85"/>
        <v>1577280000</v>
      </c>
      <c r="AN359" s="20"/>
    </row>
    <row r="360" spans="17:45">
      <c r="Q360" s="97" t="s">
        <v>5087</v>
      </c>
      <c r="R360" s="93">
        <v>6937</v>
      </c>
      <c r="T360" s="19" t="s">
        <v>5588</v>
      </c>
      <c r="U360" s="19">
        <v>346</v>
      </c>
      <c r="V360" s="115">
        <v>2659.8510000000001</v>
      </c>
      <c r="W360" s="115">
        <f t="shared" si="86"/>
        <v>920308.446</v>
      </c>
      <c r="X360" s="273" t="s">
        <v>5127</v>
      </c>
      <c r="AH360" s="147">
        <v>80</v>
      </c>
      <c r="AI360" s="147" t="s">
        <v>4982</v>
      </c>
      <c r="AJ360" s="186">
        <v>2480000</v>
      </c>
      <c r="AK360" s="147">
        <v>12</v>
      </c>
      <c r="AL360" s="147">
        <f t="shared" si="84"/>
        <v>636</v>
      </c>
      <c r="AM360" s="147">
        <f t="shared" si="85"/>
        <v>1577280000</v>
      </c>
      <c r="AN360" s="147"/>
    </row>
    <row r="361" spans="17:45">
      <c r="Q361" s="97" t="s">
        <v>5090</v>
      </c>
      <c r="R361" s="93">
        <v>4046552</v>
      </c>
      <c r="T361" s="19" t="s">
        <v>5589</v>
      </c>
      <c r="U361" s="19">
        <v>1722</v>
      </c>
      <c r="V361" s="115">
        <v>2692.1079220000001</v>
      </c>
      <c r="W361" s="115">
        <f t="shared" si="86"/>
        <v>4635809.8416840006</v>
      </c>
      <c r="X361" s="273" t="s">
        <v>5127</v>
      </c>
      <c r="Y361" t="s">
        <v>25</v>
      </c>
      <c r="AH361" s="20">
        <v>81</v>
      </c>
      <c r="AI361" s="20" t="s">
        <v>4989</v>
      </c>
      <c r="AJ361" s="115">
        <v>-24159500</v>
      </c>
      <c r="AK361" s="20">
        <v>4</v>
      </c>
      <c r="AL361" s="20">
        <f t="shared" si="84"/>
        <v>624</v>
      </c>
      <c r="AM361" s="20">
        <f t="shared" si="85"/>
        <v>-15075528000</v>
      </c>
      <c r="AN361" s="20" t="s">
        <v>4997</v>
      </c>
    </row>
    <row r="362" spans="17:45" ht="18.75" customHeight="1">
      <c r="Q362" s="97" t="s">
        <v>5097</v>
      </c>
      <c r="R362" s="93">
        <v>-3884943</v>
      </c>
      <c r="T362" s="19" t="s">
        <v>5591</v>
      </c>
      <c r="U362" s="19">
        <v>106</v>
      </c>
      <c r="V362" s="115">
        <v>2725.4</v>
      </c>
      <c r="W362" s="115">
        <f t="shared" si="86"/>
        <v>288892.40000000002</v>
      </c>
      <c r="X362" s="273" t="s">
        <v>452</v>
      </c>
      <c r="Y362" t="s">
        <v>25</v>
      </c>
      <c r="Z362" t="s">
        <v>25</v>
      </c>
      <c r="AH362" s="20">
        <v>82</v>
      </c>
      <c r="AI362" s="20" t="s">
        <v>4999</v>
      </c>
      <c r="AJ362" s="115">
        <v>400000</v>
      </c>
      <c r="AK362" s="20">
        <v>3</v>
      </c>
      <c r="AL362" s="20">
        <f t="shared" si="84"/>
        <v>620</v>
      </c>
      <c r="AM362" s="20">
        <f t="shared" si="85"/>
        <v>248000000</v>
      </c>
      <c r="AN362" s="20"/>
    </row>
    <row r="363" spans="17:45">
      <c r="Q363" s="97" t="s">
        <v>5123</v>
      </c>
      <c r="R363" s="93">
        <v>6022</v>
      </c>
      <c r="T363" s="19" t="s">
        <v>5619</v>
      </c>
      <c r="U363" s="19">
        <v>25901</v>
      </c>
      <c r="V363" s="115">
        <v>2258.9090000000001</v>
      </c>
      <c r="W363" s="115">
        <f t="shared" si="86"/>
        <v>58508002.009000003</v>
      </c>
      <c r="X363" s="273" t="s">
        <v>5127</v>
      </c>
      <c r="AH363" s="147">
        <v>83</v>
      </c>
      <c r="AI363" s="147" t="s">
        <v>5006</v>
      </c>
      <c r="AJ363" s="186">
        <v>40000</v>
      </c>
      <c r="AK363" s="147">
        <v>0</v>
      </c>
      <c r="AL363" s="147">
        <f t="shared" si="84"/>
        <v>617</v>
      </c>
      <c r="AM363" s="147">
        <f t="shared" si="85"/>
        <v>24680000</v>
      </c>
      <c r="AN363" s="147"/>
    </row>
    <row r="364" spans="17:45">
      <c r="Q364" s="97" t="s">
        <v>5126</v>
      </c>
      <c r="R364" s="93">
        <v>400000</v>
      </c>
      <c r="T364" s="19" t="s">
        <v>5621</v>
      </c>
      <c r="U364" s="19">
        <v>951</v>
      </c>
      <c r="V364" s="115">
        <v>2361.2150799999999</v>
      </c>
      <c r="W364" s="115">
        <f t="shared" si="86"/>
        <v>2245515.5410799999</v>
      </c>
      <c r="X364" s="273" t="s">
        <v>5127</v>
      </c>
      <c r="AH364" s="20">
        <v>84</v>
      </c>
      <c r="AI364" s="20" t="s">
        <v>5006</v>
      </c>
      <c r="AJ364" s="115">
        <v>40000</v>
      </c>
      <c r="AK364" s="20">
        <v>5</v>
      </c>
      <c r="AL364" s="20">
        <f t="shared" si="84"/>
        <v>617</v>
      </c>
      <c r="AM364" s="20">
        <f t="shared" si="85"/>
        <v>24680000</v>
      </c>
      <c r="AN364" s="20"/>
    </row>
    <row r="365" spans="17:45">
      <c r="Q365" s="97" t="s">
        <v>5126</v>
      </c>
      <c r="R365" s="93">
        <v>92847</v>
      </c>
      <c r="S365" t="s">
        <v>25</v>
      </c>
      <c r="T365" s="19" t="s">
        <v>5623</v>
      </c>
      <c r="U365" s="19">
        <v>7622</v>
      </c>
      <c r="V365" s="115">
        <v>2414.6810999999998</v>
      </c>
      <c r="W365" s="115">
        <f t="shared" si="86"/>
        <v>18404699.3442</v>
      </c>
      <c r="X365" s="273" t="s">
        <v>5127</v>
      </c>
      <c r="AH365" s="20">
        <v>85</v>
      </c>
      <c r="AI365" s="20" t="s">
        <v>5014</v>
      </c>
      <c r="AJ365" s="115">
        <v>200000</v>
      </c>
      <c r="AK365" s="20">
        <v>1</v>
      </c>
      <c r="AL365" s="20">
        <f t="shared" si="84"/>
        <v>612</v>
      </c>
      <c r="AM365" s="20">
        <f t="shared" si="85"/>
        <v>122400000</v>
      </c>
      <c r="AN365" s="20"/>
    </row>
    <row r="366" spans="17:45">
      <c r="Q366" s="97" t="s">
        <v>5130</v>
      </c>
      <c r="R366" s="93">
        <v>-100000</v>
      </c>
      <c r="T366" s="19" t="s">
        <v>5623</v>
      </c>
      <c r="U366" s="19">
        <v>-282</v>
      </c>
      <c r="V366" s="115">
        <v>2414.6810999999998</v>
      </c>
      <c r="W366" s="115">
        <f t="shared" si="86"/>
        <v>-680940.07019999996</v>
      </c>
      <c r="X366" s="273" t="s">
        <v>5624</v>
      </c>
      <c r="AH366" s="20">
        <v>86</v>
      </c>
      <c r="AI366" s="20" t="s">
        <v>5018</v>
      </c>
      <c r="AJ366" s="115">
        <v>500000</v>
      </c>
      <c r="AK366" s="20">
        <v>2</v>
      </c>
      <c r="AL366" s="20">
        <f t="shared" ref="AL366:AL395" si="87">AK366+AL367</f>
        <v>611</v>
      </c>
      <c r="AM366" s="20">
        <f t="shared" ref="AM366:AM395" si="88">AJ366*AL366</f>
        <v>305500000</v>
      </c>
      <c r="AN366" s="20"/>
    </row>
    <row r="367" spans="17:45">
      <c r="Q367" s="97" t="s">
        <v>5135</v>
      </c>
      <c r="R367" s="93">
        <v>10000000</v>
      </c>
      <c r="T367" s="19" t="s">
        <v>5623</v>
      </c>
      <c r="U367" s="19">
        <v>20162</v>
      </c>
      <c r="V367" s="115">
        <v>2414.6810999999998</v>
      </c>
      <c r="W367" s="115">
        <f t="shared" si="86"/>
        <v>48684800.338199995</v>
      </c>
      <c r="X367" s="273" t="s">
        <v>5625</v>
      </c>
      <c r="AH367" s="20">
        <v>87</v>
      </c>
      <c r="AI367" s="20" t="s">
        <v>5020</v>
      </c>
      <c r="AJ367" s="115">
        <v>500000</v>
      </c>
      <c r="AK367" s="20">
        <v>3</v>
      </c>
      <c r="AL367" s="20">
        <f t="shared" si="87"/>
        <v>609</v>
      </c>
      <c r="AM367" s="20">
        <f t="shared" si="88"/>
        <v>304500000</v>
      </c>
      <c r="AN367" s="20"/>
    </row>
    <row r="368" spans="17:45">
      <c r="Q368" s="97" t="s">
        <v>5139</v>
      </c>
      <c r="R368" s="93">
        <v>-400000</v>
      </c>
      <c r="T368" s="19" t="s">
        <v>5623</v>
      </c>
      <c r="U368" s="19">
        <v>-20162</v>
      </c>
      <c r="V368" s="115">
        <v>2414.6810999999998</v>
      </c>
      <c r="W368" s="115">
        <f t="shared" si="86"/>
        <v>-48684800.338199995</v>
      </c>
      <c r="X368" s="273" t="s">
        <v>744</v>
      </c>
      <c r="AH368" s="20">
        <v>88</v>
      </c>
      <c r="AI368" s="20" t="s">
        <v>5011</v>
      </c>
      <c r="AJ368" s="115">
        <v>250000</v>
      </c>
      <c r="AK368" s="20">
        <v>0</v>
      </c>
      <c r="AL368" s="20">
        <f t="shared" si="87"/>
        <v>606</v>
      </c>
      <c r="AM368" s="20">
        <f t="shared" si="88"/>
        <v>151500000</v>
      </c>
      <c r="AN368" s="20"/>
    </row>
    <row r="369" spans="17:45">
      <c r="Q369" s="97" t="s">
        <v>5141</v>
      </c>
      <c r="R369" s="93">
        <v>5649</v>
      </c>
      <c r="T369" s="19" t="s">
        <v>5626</v>
      </c>
      <c r="U369" s="19">
        <v>977</v>
      </c>
      <c r="V369" s="115">
        <v>2317.971947</v>
      </c>
      <c r="W369" s="115">
        <f t="shared" si="86"/>
        <v>2264658.5922190002</v>
      </c>
      <c r="X369" s="273" t="s">
        <v>5127</v>
      </c>
      <c r="AH369" s="251">
        <v>89</v>
      </c>
      <c r="AI369" s="251" t="s">
        <v>5011</v>
      </c>
      <c r="AJ369" s="242">
        <v>245000</v>
      </c>
      <c r="AK369" s="251">
        <v>16</v>
      </c>
      <c r="AL369" s="251">
        <f t="shared" si="87"/>
        <v>606</v>
      </c>
      <c r="AM369" s="251">
        <f t="shared" si="88"/>
        <v>148470000</v>
      </c>
      <c r="AN369" s="251"/>
    </row>
    <row r="370" spans="17:45">
      <c r="Q370" s="97" t="s">
        <v>5142</v>
      </c>
      <c r="R370" s="93">
        <v>460000</v>
      </c>
      <c r="T370" s="19" t="s">
        <v>5628</v>
      </c>
      <c r="U370" s="19">
        <v>10280</v>
      </c>
      <c r="V370" s="115">
        <v>2225.429357</v>
      </c>
      <c r="W370" s="115">
        <f t="shared" si="86"/>
        <v>22877413.789960001</v>
      </c>
      <c r="X370" s="273" t="s">
        <v>5127</v>
      </c>
      <c r="AB370" t="s">
        <v>25</v>
      </c>
      <c r="AH370" s="20">
        <v>90</v>
      </c>
      <c r="AI370" s="20" t="s">
        <v>5045</v>
      </c>
      <c r="AJ370" s="115">
        <v>312598</v>
      </c>
      <c r="AK370" s="20">
        <v>0</v>
      </c>
      <c r="AL370" s="20">
        <f t="shared" si="87"/>
        <v>590</v>
      </c>
      <c r="AM370" s="20">
        <f t="shared" si="88"/>
        <v>184432820</v>
      </c>
      <c r="AN370" s="20"/>
    </row>
    <row r="371" spans="17:45">
      <c r="Q371" s="97" t="s">
        <v>5142</v>
      </c>
      <c r="R371" s="93">
        <v>1300000</v>
      </c>
      <c r="T371" s="19" t="s">
        <v>5631</v>
      </c>
      <c r="U371" s="19">
        <v>1022</v>
      </c>
      <c r="V371" s="115">
        <v>2311.6824240000001</v>
      </c>
      <c r="W371" s="115">
        <f t="shared" si="86"/>
        <v>2362539.4373280001</v>
      </c>
      <c r="X371" s="273" t="s">
        <v>5127</v>
      </c>
      <c r="AH371" s="20">
        <v>91</v>
      </c>
      <c r="AI371" s="20" t="s">
        <v>5045</v>
      </c>
      <c r="AJ371" s="115">
        <v>780000</v>
      </c>
      <c r="AK371" s="20">
        <v>0</v>
      </c>
      <c r="AL371" s="20">
        <f t="shared" si="87"/>
        <v>590</v>
      </c>
      <c r="AM371" s="20">
        <f t="shared" si="88"/>
        <v>460200000</v>
      </c>
      <c r="AN371" s="20"/>
    </row>
    <row r="372" spans="17:45">
      <c r="Q372" s="97" t="s">
        <v>977</v>
      </c>
      <c r="R372" s="93">
        <v>7300000</v>
      </c>
      <c r="T372" s="19" t="s">
        <v>5632</v>
      </c>
      <c r="U372" s="19">
        <v>6818</v>
      </c>
      <c r="V372" s="115">
        <v>2352.988656</v>
      </c>
      <c r="W372" s="115">
        <f t="shared" si="86"/>
        <v>16042676.656608</v>
      </c>
      <c r="X372" s="273" t="s">
        <v>5127</v>
      </c>
      <c r="AH372" s="193">
        <v>92</v>
      </c>
      <c r="AI372" s="193" t="s">
        <v>5045</v>
      </c>
      <c r="AJ372" s="194">
        <v>-300000</v>
      </c>
      <c r="AK372" s="193">
        <v>1</v>
      </c>
      <c r="AL372" s="193">
        <f t="shared" si="87"/>
        <v>590</v>
      </c>
      <c r="AM372" s="193">
        <f t="shared" si="88"/>
        <v>-177000000</v>
      </c>
      <c r="AN372" s="193"/>
      <c r="AR372" t="s">
        <v>25</v>
      </c>
    </row>
    <row r="373" spans="17:45">
      <c r="Q373" s="97" t="s">
        <v>4256</v>
      </c>
      <c r="R373" s="93">
        <v>21203</v>
      </c>
      <c r="T373" s="19" t="s">
        <v>5633</v>
      </c>
      <c r="U373" s="19">
        <v>8023</v>
      </c>
      <c r="V373" s="115">
        <v>2293.8167079999998</v>
      </c>
      <c r="W373" s="115">
        <f t="shared" si="86"/>
        <v>18403291.448284</v>
      </c>
      <c r="X373" s="273" t="s">
        <v>5127</v>
      </c>
      <c r="AH373" s="20">
        <v>93</v>
      </c>
      <c r="AI373" s="20" t="s">
        <v>5012</v>
      </c>
      <c r="AJ373" s="115">
        <v>300000</v>
      </c>
      <c r="AK373" s="20">
        <v>0</v>
      </c>
      <c r="AL373" s="20">
        <f t="shared" si="87"/>
        <v>589</v>
      </c>
      <c r="AM373" s="20">
        <f t="shared" si="88"/>
        <v>176700000</v>
      </c>
      <c r="AN373" s="20"/>
    </row>
    <row r="374" spans="17:45">
      <c r="Q374" s="97" t="s">
        <v>5140</v>
      </c>
      <c r="R374" s="93">
        <v>34550</v>
      </c>
      <c r="T374" s="19" t="s">
        <v>5636</v>
      </c>
      <c r="U374" s="19">
        <v>4666</v>
      </c>
      <c r="V374" s="115">
        <v>2263.4906230000001</v>
      </c>
      <c r="W374" s="115">
        <f t="shared" si="86"/>
        <v>10561447.246918</v>
      </c>
      <c r="X374" s="273" t="s">
        <v>5127</v>
      </c>
      <c r="AH374" s="20">
        <v>94</v>
      </c>
      <c r="AI374" s="20" t="s">
        <v>5012</v>
      </c>
      <c r="AJ374" s="115">
        <v>8660000</v>
      </c>
      <c r="AK374" s="20">
        <v>8</v>
      </c>
      <c r="AL374" s="20">
        <f t="shared" si="87"/>
        <v>589</v>
      </c>
      <c r="AM374" s="20">
        <f t="shared" si="88"/>
        <v>5100740000</v>
      </c>
      <c r="AN374" s="20"/>
      <c r="AS374" t="s">
        <v>25</v>
      </c>
    </row>
    <row r="375" spans="17:45">
      <c r="Q375" s="97" t="s">
        <v>5177</v>
      </c>
      <c r="R375" s="93">
        <v>-2134406</v>
      </c>
      <c r="T375" s="19" t="s">
        <v>5637</v>
      </c>
      <c r="U375" s="19">
        <v>542</v>
      </c>
      <c r="V375" s="115">
        <v>2263.4906230000001</v>
      </c>
      <c r="W375" s="115">
        <f t="shared" si="86"/>
        <v>1226811.9176660001</v>
      </c>
      <c r="X375" s="273" t="s">
        <v>5127</v>
      </c>
      <c r="AH375" s="147">
        <v>95</v>
      </c>
      <c r="AI375" s="147" t="s">
        <v>5062</v>
      </c>
      <c r="AJ375" s="186">
        <v>200000</v>
      </c>
      <c r="AK375" s="147">
        <v>3</v>
      </c>
      <c r="AL375" s="147">
        <f t="shared" si="87"/>
        <v>581</v>
      </c>
      <c r="AM375" s="147">
        <f t="shared" si="88"/>
        <v>116200000</v>
      </c>
      <c r="AN375" s="147"/>
    </row>
    <row r="376" spans="17:45">
      <c r="Q376" s="97" t="s">
        <v>5180</v>
      </c>
      <c r="R376" s="93">
        <v>-618906</v>
      </c>
      <c r="T376" s="19" t="s">
        <v>5638</v>
      </c>
      <c r="U376" s="19">
        <v>16629</v>
      </c>
      <c r="V376" s="115">
        <v>2367.7887540000002</v>
      </c>
      <c r="W376" s="115">
        <f t="shared" si="86"/>
        <v>39373959.190266006</v>
      </c>
      <c r="X376" s="273" t="s">
        <v>5127</v>
      </c>
      <c r="AH376" s="147">
        <v>96</v>
      </c>
      <c r="AI376" s="147" t="s">
        <v>5065</v>
      </c>
      <c r="AJ376" s="186">
        <v>20000</v>
      </c>
      <c r="AK376" s="147">
        <v>1</v>
      </c>
      <c r="AL376" s="147">
        <f t="shared" si="87"/>
        <v>578</v>
      </c>
      <c r="AM376" s="147">
        <f t="shared" si="88"/>
        <v>11560000</v>
      </c>
      <c r="AN376" s="147"/>
    </row>
    <row r="377" spans="17:45">
      <c r="Q377" s="97" t="s">
        <v>5222</v>
      </c>
      <c r="R377" s="93">
        <v>-54615</v>
      </c>
      <c r="T377" s="19" t="s">
        <v>5643</v>
      </c>
      <c r="U377" s="19">
        <v>11765</v>
      </c>
      <c r="V377" s="115">
        <v>2354.7375320000001</v>
      </c>
      <c r="W377" s="115">
        <f t="shared" si="86"/>
        <v>27703487.063980002</v>
      </c>
      <c r="X377" s="273" t="s">
        <v>5127</v>
      </c>
      <c r="AH377" s="20">
        <v>97</v>
      </c>
      <c r="AI377" s="20" t="s">
        <v>5075</v>
      </c>
      <c r="AJ377" s="115">
        <v>14340000</v>
      </c>
      <c r="AK377" s="20">
        <v>7</v>
      </c>
      <c r="AL377" s="20">
        <f t="shared" si="87"/>
        <v>577</v>
      </c>
      <c r="AM377" s="20">
        <f t="shared" si="88"/>
        <v>8274180000</v>
      </c>
      <c r="AN377" s="20"/>
      <c r="AR377" t="s">
        <v>25</v>
      </c>
    </row>
    <row r="378" spans="17:45">
      <c r="Q378" s="97" t="s">
        <v>5267</v>
      </c>
      <c r="R378" s="93">
        <v>18000000</v>
      </c>
      <c r="T378" s="19" t="s">
        <v>5644</v>
      </c>
      <c r="U378" s="19">
        <v>3672</v>
      </c>
      <c r="V378" s="115">
        <v>2379.873826</v>
      </c>
      <c r="W378" s="115">
        <f t="shared" si="86"/>
        <v>8738896.6890719999</v>
      </c>
      <c r="X378" s="273" t="s">
        <v>5127</v>
      </c>
      <c r="Z378" t="s">
        <v>25</v>
      </c>
      <c r="AH378" s="20">
        <v>98</v>
      </c>
      <c r="AI378" s="20" t="s">
        <v>5082</v>
      </c>
      <c r="AJ378" s="115">
        <v>10000000</v>
      </c>
      <c r="AK378" s="20">
        <v>6</v>
      </c>
      <c r="AL378" s="20">
        <f t="shared" si="87"/>
        <v>570</v>
      </c>
      <c r="AM378" s="20">
        <f t="shared" si="88"/>
        <v>5700000000</v>
      </c>
      <c r="AN378" s="20" t="s">
        <v>4686</v>
      </c>
    </row>
    <row r="379" spans="17:45">
      <c r="Q379" s="97" t="s">
        <v>5274</v>
      </c>
      <c r="R379" s="93">
        <v>20000000</v>
      </c>
      <c r="T379" s="19" t="s">
        <v>4185</v>
      </c>
      <c r="U379" s="19">
        <v>140</v>
      </c>
      <c r="V379" s="115">
        <v>2487.154767</v>
      </c>
      <c r="W379" s="115">
        <f t="shared" si="86"/>
        <v>348201.66738</v>
      </c>
      <c r="X379" s="273" t="s">
        <v>5127</v>
      </c>
      <c r="AH379" s="20">
        <v>99</v>
      </c>
      <c r="AI379" s="20" t="s">
        <v>5087</v>
      </c>
      <c r="AJ379" s="115">
        <v>4033949</v>
      </c>
      <c r="AK379" s="20">
        <v>2</v>
      </c>
      <c r="AL379" s="20">
        <f t="shared" si="87"/>
        <v>564</v>
      </c>
      <c r="AM379" s="20">
        <f t="shared" si="88"/>
        <v>2275147236</v>
      </c>
      <c r="AN379" s="20" t="s">
        <v>5089</v>
      </c>
    </row>
    <row r="380" spans="17:45">
      <c r="Q380" s="97" t="s">
        <v>5349</v>
      </c>
      <c r="R380" s="93">
        <v>27694196</v>
      </c>
      <c r="T380" s="19" t="s">
        <v>5646</v>
      </c>
      <c r="U380" s="19">
        <v>1616</v>
      </c>
      <c r="V380" s="115">
        <v>2573.0760479999999</v>
      </c>
      <c r="W380" s="115">
        <f t="shared" si="86"/>
        <v>4158090.8935679998</v>
      </c>
      <c r="X380" s="273" t="s">
        <v>5127</v>
      </c>
      <c r="AH380" s="147">
        <v>100</v>
      </c>
      <c r="AI380" s="147" t="s">
        <v>5093</v>
      </c>
      <c r="AJ380" s="186">
        <v>11500000</v>
      </c>
      <c r="AK380" s="147">
        <v>2</v>
      </c>
      <c r="AL380" s="147">
        <f t="shared" si="87"/>
        <v>562</v>
      </c>
      <c r="AM380" s="147">
        <f t="shared" si="88"/>
        <v>6463000000</v>
      </c>
      <c r="AN380" s="147" t="s">
        <v>5095</v>
      </c>
    </row>
    <row r="381" spans="17:45">
      <c r="Q381" s="97" t="s">
        <v>5350</v>
      </c>
      <c r="R381" s="93">
        <v>7211722</v>
      </c>
      <c r="T381" s="187" t="s">
        <v>5647</v>
      </c>
      <c r="U381" s="187">
        <v>5682</v>
      </c>
      <c r="V381" s="186">
        <v>2639.970566</v>
      </c>
      <c r="W381" s="186">
        <f t="shared" si="86"/>
        <v>15000312.756012</v>
      </c>
      <c r="X381" s="272" t="s">
        <v>5934</v>
      </c>
      <c r="AH381" s="147">
        <v>101</v>
      </c>
      <c r="AI381" s="147" t="s">
        <v>5097</v>
      </c>
      <c r="AJ381" s="186">
        <v>250000</v>
      </c>
      <c r="AK381" s="147">
        <v>3</v>
      </c>
      <c r="AL381" s="147">
        <f t="shared" si="87"/>
        <v>560</v>
      </c>
      <c r="AM381" s="147">
        <f t="shared" si="88"/>
        <v>140000000</v>
      </c>
      <c r="AN381" s="147"/>
      <c r="AP381" t="s">
        <v>25</v>
      </c>
    </row>
    <row r="382" spans="17:45" ht="30">
      <c r="Q382" s="97" t="s">
        <v>5358</v>
      </c>
      <c r="R382" s="93">
        <v>8481864</v>
      </c>
      <c r="T382" s="187" t="s">
        <v>5647</v>
      </c>
      <c r="U382" s="187">
        <v>-122</v>
      </c>
      <c r="V382" s="186">
        <v>2639.970566</v>
      </c>
      <c r="W382" s="186">
        <f t="shared" si="86"/>
        <v>-322076.40905199997</v>
      </c>
      <c r="X382" s="272" t="s">
        <v>5979</v>
      </c>
      <c r="Y382" t="s">
        <v>25</v>
      </c>
      <c r="AH382" s="147">
        <v>102</v>
      </c>
      <c r="AI382" s="147" t="s">
        <v>5122</v>
      </c>
      <c r="AJ382" s="186">
        <v>6000000</v>
      </c>
      <c r="AK382" s="147">
        <v>1</v>
      </c>
      <c r="AL382" s="147">
        <f t="shared" si="87"/>
        <v>557</v>
      </c>
      <c r="AM382" s="147">
        <f t="shared" si="88"/>
        <v>3342000000</v>
      </c>
      <c r="AN382" s="147" t="s">
        <v>5095</v>
      </c>
    </row>
    <row r="383" spans="17:45">
      <c r="Q383" s="97" t="s">
        <v>5363</v>
      </c>
      <c r="R383" s="93">
        <v>1558697</v>
      </c>
      <c r="T383" s="19" t="s">
        <v>5647</v>
      </c>
      <c r="U383" s="19">
        <v>2272</v>
      </c>
      <c r="V383" s="115">
        <v>2639.970566</v>
      </c>
      <c r="W383" s="115">
        <f t="shared" si="86"/>
        <v>5998013.1259519998</v>
      </c>
      <c r="X383" s="273" t="s">
        <v>5656</v>
      </c>
      <c r="AA383" t="s">
        <v>25</v>
      </c>
      <c r="AH383" s="147">
        <v>103</v>
      </c>
      <c r="AI383" s="147" t="s">
        <v>5123</v>
      </c>
      <c r="AJ383" s="186">
        <v>1500000</v>
      </c>
      <c r="AK383" s="147">
        <v>6</v>
      </c>
      <c r="AL383" s="147">
        <f t="shared" si="87"/>
        <v>556</v>
      </c>
      <c r="AM383" s="147">
        <f t="shared" si="88"/>
        <v>834000000</v>
      </c>
      <c r="AN383" s="147" t="s">
        <v>5095</v>
      </c>
    </row>
    <row r="384" spans="17:45" ht="30">
      <c r="Q384" s="97" t="s">
        <v>5364</v>
      </c>
      <c r="R384" s="93">
        <v>9042009</v>
      </c>
      <c r="T384" s="19" t="s">
        <v>5647</v>
      </c>
      <c r="U384" s="19">
        <v>4434</v>
      </c>
      <c r="V384" s="115">
        <v>2639.970566</v>
      </c>
      <c r="W384" s="115">
        <f t="shared" si="86"/>
        <v>11705629.489644</v>
      </c>
      <c r="X384" s="273" t="s">
        <v>5657</v>
      </c>
      <c r="AH384" s="20">
        <v>104</v>
      </c>
      <c r="AI384" s="20" t="s">
        <v>960</v>
      </c>
      <c r="AJ384" s="115">
        <v>-3960043</v>
      </c>
      <c r="AK384" s="20">
        <v>2</v>
      </c>
      <c r="AL384" s="20">
        <f t="shared" si="87"/>
        <v>550</v>
      </c>
      <c r="AM384" s="20">
        <f t="shared" si="88"/>
        <v>-2178023650</v>
      </c>
      <c r="AN384" s="20"/>
    </row>
    <row r="385" spans="16:45">
      <c r="Q385" s="97" t="s">
        <v>5368</v>
      </c>
      <c r="R385" s="93">
        <v>94969</v>
      </c>
      <c r="T385" s="19" t="s">
        <v>5647</v>
      </c>
      <c r="U385" s="19">
        <v>2349</v>
      </c>
      <c r="V385" s="115">
        <v>2639.970566</v>
      </c>
      <c r="W385" s="115">
        <f t="shared" si="86"/>
        <v>6201290.859534</v>
      </c>
      <c r="X385" s="273" t="s">
        <v>5658</v>
      </c>
      <c r="AH385" s="20">
        <v>105</v>
      </c>
      <c r="AI385" s="20" t="s">
        <v>5141</v>
      </c>
      <c r="AJ385" s="115">
        <v>230000</v>
      </c>
      <c r="AK385" s="20">
        <v>0</v>
      </c>
      <c r="AL385" s="20">
        <f t="shared" si="87"/>
        <v>548</v>
      </c>
      <c r="AM385" s="20">
        <f t="shared" si="88"/>
        <v>126040000</v>
      </c>
      <c r="AN385" s="20"/>
    </row>
    <row r="386" spans="16:45" ht="30">
      <c r="Q386" s="97" t="s">
        <v>5368</v>
      </c>
      <c r="R386" s="93">
        <v>40000000</v>
      </c>
      <c r="T386" s="19" t="s">
        <v>5647</v>
      </c>
      <c r="U386" s="19">
        <v>-568</v>
      </c>
      <c r="V386" s="115">
        <v>2639.970566</v>
      </c>
      <c r="W386" s="115">
        <f t="shared" si="86"/>
        <v>-1499503.2814879999</v>
      </c>
      <c r="X386" s="273" t="s">
        <v>5659</v>
      </c>
      <c r="Y386" t="s">
        <v>25</v>
      </c>
      <c r="AH386" s="147">
        <v>106</v>
      </c>
      <c r="AI386" s="147" t="s">
        <v>5141</v>
      </c>
      <c r="AJ386" s="186">
        <v>230000</v>
      </c>
      <c r="AK386" s="147">
        <v>1</v>
      </c>
      <c r="AL386" s="147">
        <f t="shared" si="87"/>
        <v>548</v>
      </c>
      <c r="AM386" s="147">
        <f t="shared" si="88"/>
        <v>126040000</v>
      </c>
      <c r="AN386" s="147"/>
      <c r="AQ386" t="s">
        <v>25</v>
      </c>
    </row>
    <row r="387" spans="16:45" ht="30">
      <c r="Q387" s="97" t="s">
        <v>5369</v>
      </c>
      <c r="R387" s="93">
        <v>2806274</v>
      </c>
      <c r="S387" t="s">
        <v>25</v>
      </c>
      <c r="T387" s="19" t="s">
        <v>5647</v>
      </c>
      <c r="U387" s="19">
        <v>568</v>
      </c>
      <c r="V387" s="115">
        <v>2639.970566</v>
      </c>
      <c r="W387" s="115">
        <f t="shared" si="86"/>
        <v>1499503.2814879999</v>
      </c>
      <c r="X387" s="273" t="s">
        <v>5659</v>
      </c>
      <c r="AF387" s="94" t="s">
        <v>25</v>
      </c>
      <c r="AH387" s="147">
        <v>107</v>
      </c>
      <c r="AI387" s="147" t="s">
        <v>5142</v>
      </c>
      <c r="AJ387" s="186">
        <v>500000</v>
      </c>
      <c r="AK387" s="147">
        <v>1</v>
      </c>
      <c r="AL387" s="147">
        <f t="shared" si="87"/>
        <v>547</v>
      </c>
      <c r="AM387" s="147">
        <f t="shared" si="88"/>
        <v>273500000</v>
      </c>
      <c r="AN387" s="147"/>
    </row>
    <row r="388" spans="16:45">
      <c r="Q388" s="97" t="s">
        <v>5377</v>
      </c>
      <c r="R388" s="93">
        <v>1331702</v>
      </c>
      <c r="T388" s="19" t="s">
        <v>5650</v>
      </c>
      <c r="U388" s="19">
        <v>4589</v>
      </c>
      <c r="V388" s="115">
        <v>2639.970566</v>
      </c>
      <c r="W388" s="115">
        <f t="shared" si="86"/>
        <v>12114824.927374</v>
      </c>
      <c r="X388" s="273" t="s">
        <v>5660</v>
      </c>
      <c r="Y388" t="s">
        <v>25</v>
      </c>
      <c r="AH388" s="20">
        <v>108</v>
      </c>
      <c r="AI388" s="20" t="s">
        <v>5145</v>
      </c>
      <c r="AJ388" s="115">
        <v>-880000</v>
      </c>
      <c r="AK388" s="20">
        <v>4</v>
      </c>
      <c r="AL388" s="20">
        <f t="shared" si="87"/>
        <v>546</v>
      </c>
      <c r="AM388" s="20">
        <f t="shared" si="88"/>
        <v>-480480000</v>
      </c>
      <c r="AN388" s="20"/>
      <c r="AS388" t="s">
        <v>25</v>
      </c>
    </row>
    <row r="389" spans="16:45">
      <c r="Q389" s="97" t="s">
        <v>5411</v>
      </c>
      <c r="R389" s="93">
        <v>851238</v>
      </c>
      <c r="T389" s="19" t="s">
        <v>5650</v>
      </c>
      <c r="U389" s="19">
        <v>41959</v>
      </c>
      <c r="V389" s="115">
        <v>2639.970566</v>
      </c>
      <c r="W389" s="115">
        <f t="shared" ref="W389:W477" si="89">U389*V389</f>
        <v>110770524.97879399</v>
      </c>
      <c r="X389" s="273" t="s">
        <v>5127</v>
      </c>
      <c r="AH389" s="193">
        <v>109</v>
      </c>
      <c r="AI389" s="193" t="s">
        <v>5149</v>
      </c>
      <c r="AJ389" s="194">
        <v>873000</v>
      </c>
      <c r="AK389" s="193">
        <v>0</v>
      </c>
      <c r="AL389" s="193">
        <f t="shared" si="87"/>
        <v>542</v>
      </c>
      <c r="AM389" s="193">
        <f t="shared" si="88"/>
        <v>473166000</v>
      </c>
      <c r="AN389" s="193" t="s">
        <v>5095</v>
      </c>
    </row>
    <row r="390" spans="16:45">
      <c r="P390" t="s">
        <v>25</v>
      </c>
      <c r="Q390" s="97" t="s">
        <v>5457</v>
      </c>
      <c r="R390" s="93">
        <v>652592</v>
      </c>
      <c r="T390" s="19" t="s">
        <v>5662</v>
      </c>
      <c r="U390" s="19">
        <v>2486</v>
      </c>
      <c r="V390" s="115">
        <v>2688.7156100000002</v>
      </c>
      <c r="W390" s="115">
        <f t="shared" si="89"/>
        <v>6684147.0064600008</v>
      </c>
      <c r="X390" s="273" t="s">
        <v>5127</v>
      </c>
      <c r="AH390" s="20">
        <v>110</v>
      </c>
      <c r="AI390" s="20" t="s">
        <v>5149</v>
      </c>
      <c r="AJ390" s="115">
        <v>127000</v>
      </c>
      <c r="AK390" s="20">
        <v>0</v>
      </c>
      <c r="AL390" s="20">
        <f t="shared" si="87"/>
        <v>542</v>
      </c>
      <c r="AM390" s="20">
        <f t="shared" si="88"/>
        <v>68834000</v>
      </c>
      <c r="AN390" s="20" t="s">
        <v>5095</v>
      </c>
    </row>
    <row r="391" spans="16:45">
      <c r="Q391" s="97" t="s">
        <v>5458</v>
      </c>
      <c r="R391" s="93">
        <v>554139</v>
      </c>
      <c r="T391" s="19" t="s">
        <v>5665</v>
      </c>
      <c r="U391" s="19">
        <v>652</v>
      </c>
      <c r="V391" s="115">
        <v>2801.4344030000002</v>
      </c>
      <c r="W391" s="115">
        <f t="shared" si="89"/>
        <v>1826535.2307560001</v>
      </c>
      <c r="X391" s="273" t="s">
        <v>5127</v>
      </c>
      <c r="AH391" s="20">
        <v>111</v>
      </c>
      <c r="AI391" s="20" t="s">
        <v>5149</v>
      </c>
      <c r="AJ391" s="115">
        <v>73000</v>
      </c>
      <c r="AK391" s="20">
        <v>1</v>
      </c>
      <c r="AL391" s="20">
        <f t="shared" si="87"/>
        <v>542</v>
      </c>
      <c r="AM391" s="20">
        <f t="shared" si="88"/>
        <v>39566000</v>
      </c>
      <c r="AN391" s="20"/>
    </row>
    <row r="392" spans="16:45">
      <c r="Q392" s="97" t="s">
        <v>5459</v>
      </c>
      <c r="R392" s="93">
        <v>70373089</v>
      </c>
      <c r="T392" s="187" t="s">
        <v>5665</v>
      </c>
      <c r="U392" s="187">
        <v>-536</v>
      </c>
      <c r="V392" s="186">
        <v>2801.4344030000002</v>
      </c>
      <c r="W392" s="186">
        <f t="shared" si="89"/>
        <v>-1501568.8400080001</v>
      </c>
      <c r="X392" s="272" t="s">
        <v>5678</v>
      </c>
      <c r="AH392" s="20">
        <v>112</v>
      </c>
      <c r="AI392" s="20" t="s">
        <v>977</v>
      </c>
      <c r="AJ392" s="115">
        <v>4300000</v>
      </c>
      <c r="AK392" s="20">
        <v>1</v>
      </c>
      <c r="AL392" s="20">
        <f t="shared" si="87"/>
        <v>541</v>
      </c>
      <c r="AM392" s="20">
        <f t="shared" si="88"/>
        <v>2326300000</v>
      </c>
      <c r="AN392" s="20"/>
    </row>
    <row r="393" spans="16:45">
      <c r="Q393" s="97" t="s">
        <v>5460</v>
      </c>
      <c r="R393" s="93">
        <v>1219655</v>
      </c>
      <c r="T393" s="19" t="s">
        <v>5669</v>
      </c>
      <c r="U393" s="19">
        <v>1351</v>
      </c>
      <c r="V393" s="115">
        <v>2647.94</v>
      </c>
      <c r="W393" s="115">
        <f t="shared" si="89"/>
        <v>3577366.94</v>
      </c>
      <c r="X393" s="273" t="s">
        <v>5127</v>
      </c>
      <c r="AH393" s="20">
        <v>113</v>
      </c>
      <c r="AI393" s="20" t="s">
        <v>5024</v>
      </c>
      <c r="AJ393" s="115">
        <v>1600000</v>
      </c>
      <c r="AK393" s="20">
        <v>0</v>
      </c>
      <c r="AL393" s="20">
        <f t="shared" si="87"/>
        <v>540</v>
      </c>
      <c r="AM393" s="20">
        <f t="shared" si="88"/>
        <v>864000000</v>
      </c>
      <c r="AN393" s="20"/>
      <c r="AR393" t="s">
        <v>25</v>
      </c>
    </row>
    <row r="394" spans="16:45">
      <c r="Q394" s="97" t="s">
        <v>5461</v>
      </c>
      <c r="R394" s="93">
        <v>15350146</v>
      </c>
      <c r="T394" s="19" t="s">
        <v>5671</v>
      </c>
      <c r="U394" s="19">
        <v>8402</v>
      </c>
      <c r="V394" s="115">
        <v>2527.8539839999999</v>
      </c>
      <c r="W394" s="115">
        <f t="shared" si="89"/>
        <v>21239029.173567999</v>
      </c>
      <c r="X394" s="273" t="s">
        <v>5127</v>
      </c>
      <c r="AH394" s="20">
        <v>114</v>
      </c>
      <c r="AI394" s="20" t="s">
        <v>4256</v>
      </c>
      <c r="AJ394" s="115">
        <v>-10000000</v>
      </c>
      <c r="AK394" s="20">
        <v>1</v>
      </c>
      <c r="AL394" s="20">
        <f t="shared" si="87"/>
        <v>540</v>
      </c>
      <c r="AM394" s="20">
        <f t="shared" si="88"/>
        <v>-5400000000</v>
      </c>
      <c r="AN394" s="20" t="s">
        <v>5155</v>
      </c>
    </row>
    <row r="395" spans="16:45">
      <c r="Q395" s="97" t="s">
        <v>5465</v>
      </c>
      <c r="R395" s="93">
        <v>121018</v>
      </c>
      <c r="T395" s="19" t="s">
        <v>5675</v>
      </c>
      <c r="U395" s="19">
        <v>98141</v>
      </c>
      <c r="V395" s="115">
        <v>2475.593813</v>
      </c>
      <c r="W395" s="115">
        <f t="shared" si="89"/>
        <v>242957252.40163299</v>
      </c>
      <c r="X395" s="273" t="s">
        <v>5127</v>
      </c>
      <c r="AH395" s="20">
        <v>115</v>
      </c>
      <c r="AI395" s="20" t="s">
        <v>5154</v>
      </c>
      <c r="AJ395" s="115">
        <v>571000</v>
      </c>
      <c r="AK395" s="20">
        <v>4</v>
      </c>
      <c r="AL395" s="20">
        <f t="shared" si="87"/>
        <v>539</v>
      </c>
      <c r="AM395" s="20">
        <f t="shared" si="88"/>
        <v>307769000</v>
      </c>
      <c r="AN395" s="20"/>
    </row>
    <row r="396" spans="16:45">
      <c r="Q396" s="97" t="s">
        <v>5481</v>
      </c>
      <c r="R396" s="93">
        <v>1024993</v>
      </c>
      <c r="T396" s="19" t="s">
        <v>5679</v>
      </c>
      <c r="U396" s="19">
        <v>2910</v>
      </c>
      <c r="V396" s="115">
        <v>2528.240988</v>
      </c>
      <c r="W396" s="115">
        <f t="shared" si="89"/>
        <v>7357181.2750800001</v>
      </c>
      <c r="X396" s="273" t="s">
        <v>5127</v>
      </c>
      <c r="Z396" t="s">
        <v>25</v>
      </c>
      <c r="AH396" s="20">
        <v>116</v>
      </c>
      <c r="AI396" s="20" t="s">
        <v>5156</v>
      </c>
      <c r="AJ396" s="115">
        <v>200000</v>
      </c>
      <c r="AK396" s="20">
        <v>3</v>
      </c>
      <c r="AL396" s="20">
        <f t="shared" ref="AL396:AL407" si="90">AK396+AL397</f>
        <v>535</v>
      </c>
      <c r="AM396" s="20">
        <f t="shared" ref="AM396:AM407" si="91">AJ396*AL396</f>
        <v>107000000</v>
      </c>
      <c r="AN396" s="20"/>
    </row>
    <row r="397" spans="16:45">
      <c r="Q397" s="97" t="s">
        <v>5482</v>
      </c>
      <c r="R397" s="93">
        <v>1948077</v>
      </c>
      <c r="T397" s="19" t="s">
        <v>5681</v>
      </c>
      <c r="U397" s="19">
        <v>5652</v>
      </c>
      <c r="V397" s="115">
        <v>2645.3312000000001</v>
      </c>
      <c r="W397" s="115">
        <f t="shared" si="89"/>
        <v>14951411.942400001</v>
      </c>
      <c r="X397" s="273" t="s">
        <v>5127</v>
      </c>
      <c r="AH397" s="147">
        <v>117</v>
      </c>
      <c r="AI397" s="147" t="s">
        <v>5162</v>
      </c>
      <c r="AJ397" s="186">
        <v>50000</v>
      </c>
      <c r="AK397" s="147">
        <v>7</v>
      </c>
      <c r="AL397" s="147">
        <f t="shared" si="90"/>
        <v>532</v>
      </c>
      <c r="AM397" s="147">
        <f t="shared" si="91"/>
        <v>26600000</v>
      </c>
      <c r="AN397" s="147"/>
    </row>
    <row r="398" spans="16:45" ht="21" customHeight="1">
      <c r="Q398" s="97" t="s">
        <v>5483</v>
      </c>
      <c r="R398" s="93">
        <v>50000120</v>
      </c>
      <c r="T398" s="19" t="s">
        <v>5685</v>
      </c>
      <c r="U398" s="19">
        <v>18764</v>
      </c>
      <c r="V398" s="115">
        <v>2554.2639829999998</v>
      </c>
      <c r="W398" s="115">
        <f t="shared" si="89"/>
        <v>47928209.377011999</v>
      </c>
      <c r="X398" s="273" t="s">
        <v>5127</v>
      </c>
      <c r="AA398" t="s">
        <v>25</v>
      </c>
      <c r="AH398" s="20">
        <v>118</v>
      </c>
      <c r="AI398" s="20" t="s">
        <v>5170</v>
      </c>
      <c r="AJ398" s="115">
        <v>-500000</v>
      </c>
      <c r="AK398" s="20">
        <v>12</v>
      </c>
      <c r="AL398" s="20">
        <f t="shared" si="90"/>
        <v>525</v>
      </c>
      <c r="AM398" s="20">
        <f t="shared" si="91"/>
        <v>-262500000</v>
      </c>
      <c r="AN398" s="20"/>
    </row>
    <row r="399" spans="16:45">
      <c r="Q399" s="97" t="s">
        <v>5508</v>
      </c>
      <c r="R399" s="93">
        <v>20000055</v>
      </c>
      <c r="T399" s="19" t="s">
        <v>5687</v>
      </c>
      <c r="U399" s="19">
        <v>930</v>
      </c>
      <c r="V399" s="115">
        <v>2453.3287089999999</v>
      </c>
      <c r="W399" s="115">
        <f t="shared" si="89"/>
        <v>2281595.69937</v>
      </c>
      <c r="X399" s="273" t="s">
        <v>5127</v>
      </c>
      <c r="AH399" s="147">
        <v>119</v>
      </c>
      <c r="AI399" s="147" t="s">
        <v>976</v>
      </c>
      <c r="AJ399" s="186">
        <v>-50000</v>
      </c>
      <c r="AK399" s="147">
        <v>0</v>
      </c>
      <c r="AL399" s="147">
        <f t="shared" si="90"/>
        <v>513</v>
      </c>
      <c r="AM399" s="147">
        <f t="shared" si="91"/>
        <v>-25650000</v>
      </c>
      <c r="AN399" s="147"/>
    </row>
    <row r="400" spans="16:45" ht="18" customHeight="1">
      <c r="Q400" s="97" t="s">
        <v>5509</v>
      </c>
      <c r="R400" s="93">
        <v>5745697</v>
      </c>
      <c r="T400" s="19" t="s">
        <v>5689</v>
      </c>
      <c r="U400" s="19">
        <v>1167</v>
      </c>
      <c r="V400" s="115">
        <v>2540.6307069999998</v>
      </c>
      <c r="W400" s="115">
        <f t="shared" si="89"/>
        <v>2964916.035069</v>
      </c>
      <c r="X400" s="273" t="s">
        <v>5127</v>
      </c>
      <c r="AA400" t="s">
        <v>25</v>
      </c>
      <c r="AH400" s="20">
        <v>120</v>
      </c>
      <c r="AI400" s="20" t="s">
        <v>976</v>
      </c>
      <c r="AJ400" s="115">
        <v>-50000</v>
      </c>
      <c r="AK400" s="20">
        <v>28</v>
      </c>
      <c r="AL400" s="20">
        <f t="shared" si="90"/>
        <v>513</v>
      </c>
      <c r="AM400" s="20">
        <f t="shared" si="91"/>
        <v>-25650000</v>
      </c>
      <c r="AN400" s="20"/>
    </row>
    <row r="401" spans="17:45" ht="21" customHeight="1">
      <c r="Q401" s="97" t="s">
        <v>5510</v>
      </c>
      <c r="R401" s="93">
        <v>908158</v>
      </c>
      <c r="T401" s="19" t="s">
        <v>5690</v>
      </c>
      <c r="U401" s="19">
        <v>2538</v>
      </c>
      <c r="V401" s="115">
        <v>2545.5277489999999</v>
      </c>
      <c r="W401" s="115">
        <f t="shared" si="89"/>
        <v>6460549.4269619994</v>
      </c>
      <c r="X401" s="273" t="s">
        <v>5127</v>
      </c>
      <c r="Z401" t="s">
        <v>25</v>
      </c>
      <c r="AA401" t="s">
        <v>25</v>
      </c>
      <c r="AD401" t="s">
        <v>25</v>
      </c>
      <c r="AH401" s="20">
        <v>121</v>
      </c>
      <c r="AI401" s="20" t="s">
        <v>5211</v>
      </c>
      <c r="AJ401" s="115">
        <v>-3020625</v>
      </c>
      <c r="AK401" s="20">
        <v>18</v>
      </c>
      <c r="AL401" s="20">
        <f t="shared" si="90"/>
        <v>485</v>
      </c>
      <c r="AM401" s="20">
        <f t="shared" si="91"/>
        <v>-1465003125</v>
      </c>
      <c r="AN401" s="20"/>
    </row>
    <row r="402" spans="17:45">
      <c r="Q402" s="97" t="s">
        <v>5511</v>
      </c>
      <c r="R402" s="93">
        <v>12642697</v>
      </c>
      <c r="T402" s="19" t="s">
        <v>5692</v>
      </c>
      <c r="U402" s="19">
        <v>2106</v>
      </c>
      <c r="V402" s="115">
        <v>2474.9857059999999</v>
      </c>
      <c r="W402" s="115">
        <f t="shared" si="89"/>
        <v>5212319.8968359996</v>
      </c>
      <c r="X402" s="273" t="s">
        <v>5127</v>
      </c>
      <c r="AH402" s="20">
        <v>122</v>
      </c>
      <c r="AI402" s="20" t="s">
        <v>5222</v>
      </c>
      <c r="AJ402" s="115">
        <v>18000000</v>
      </c>
      <c r="AK402" s="20">
        <v>19</v>
      </c>
      <c r="AL402" s="20">
        <f t="shared" si="90"/>
        <v>467</v>
      </c>
      <c r="AM402" s="20">
        <f t="shared" si="91"/>
        <v>8406000000</v>
      </c>
      <c r="AN402" s="20"/>
      <c r="AS402" t="s">
        <v>25</v>
      </c>
    </row>
    <row r="403" spans="17:45">
      <c r="Q403" s="97" t="s">
        <v>5512</v>
      </c>
      <c r="R403" s="93">
        <v>12297317.81435</v>
      </c>
      <c r="T403" s="19" t="s">
        <v>5695</v>
      </c>
      <c r="U403" s="19">
        <v>1801</v>
      </c>
      <c r="V403" s="115">
        <v>2512.2134809999998</v>
      </c>
      <c r="W403" s="115">
        <f t="shared" si="89"/>
        <v>4524496.4792809999</v>
      </c>
      <c r="X403" s="273" t="s">
        <v>5127</v>
      </c>
      <c r="AH403" s="20">
        <v>123</v>
      </c>
      <c r="AI403" s="20" t="s">
        <v>5249</v>
      </c>
      <c r="AJ403" s="115">
        <v>2000000</v>
      </c>
      <c r="AK403" s="20">
        <v>6</v>
      </c>
      <c r="AL403" s="20">
        <f t="shared" si="90"/>
        <v>448</v>
      </c>
      <c r="AM403" s="20">
        <f t="shared" si="91"/>
        <v>896000000</v>
      </c>
      <c r="AN403" s="20"/>
    </row>
    <row r="404" spans="17:45">
      <c r="Q404" s="97" t="s">
        <v>5513</v>
      </c>
      <c r="R404" s="93">
        <v>8959643.8508579992</v>
      </c>
      <c r="T404" s="19" t="s">
        <v>5697</v>
      </c>
      <c r="U404" s="19">
        <v>9184</v>
      </c>
      <c r="V404" s="115">
        <v>2489.76919</v>
      </c>
      <c r="W404" s="115">
        <f t="shared" si="89"/>
        <v>22866040.240959998</v>
      </c>
      <c r="X404" s="273" t="s">
        <v>5127</v>
      </c>
      <c r="AH404" s="147">
        <v>124</v>
      </c>
      <c r="AI404" s="147" t="s">
        <v>5258</v>
      </c>
      <c r="AJ404" s="186">
        <v>40000000</v>
      </c>
      <c r="AK404" s="147">
        <v>6</v>
      </c>
      <c r="AL404" s="147">
        <f t="shared" si="90"/>
        <v>442</v>
      </c>
      <c r="AM404" s="147">
        <f t="shared" si="91"/>
        <v>17680000000</v>
      </c>
      <c r="AN404" s="147"/>
    </row>
    <row r="405" spans="17:45">
      <c r="Q405" s="97" t="s">
        <v>5531</v>
      </c>
      <c r="R405" s="93">
        <v>15154095.839328</v>
      </c>
      <c r="T405" s="19" t="s">
        <v>5699</v>
      </c>
      <c r="U405" s="19">
        <v>6259</v>
      </c>
      <c r="V405" s="115">
        <v>2453.954988</v>
      </c>
      <c r="W405" s="115">
        <f t="shared" si="89"/>
        <v>15359304.269892</v>
      </c>
      <c r="X405" s="273" t="s">
        <v>5127</v>
      </c>
      <c r="Y405" t="s">
        <v>25</v>
      </c>
      <c r="AH405" s="20">
        <v>125</v>
      </c>
      <c r="AI405" s="20" t="s">
        <v>5267</v>
      </c>
      <c r="AJ405" s="115">
        <v>200000</v>
      </c>
      <c r="AK405" s="20">
        <v>0</v>
      </c>
      <c r="AL405" s="20">
        <f t="shared" si="90"/>
        <v>436</v>
      </c>
      <c r="AM405" s="20">
        <f t="shared" si="91"/>
        <v>87200000</v>
      </c>
      <c r="AN405" s="20"/>
    </row>
    <row r="406" spans="17:45">
      <c r="Q406" s="97" t="s">
        <v>5532</v>
      </c>
      <c r="R406" s="93">
        <v>50725508.571864001</v>
      </c>
      <c r="T406" s="19" t="s">
        <v>5701</v>
      </c>
      <c r="U406" s="19">
        <v>1223</v>
      </c>
      <c r="V406" s="115">
        <v>2345.4686710000001</v>
      </c>
      <c r="W406" s="115">
        <f t="shared" si="89"/>
        <v>2868508.1846330003</v>
      </c>
      <c r="X406" s="273" t="s">
        <v>5127</v>
      </c>
      <c r="AH406" s="147">
        <v>126</v>
      </c>
      <c r="AI406" s="147" t="s">
        <v>5267</v>
      </c>
      <c r="AJ406" s="186">
        <v>200000</v>
      </c>
      <c r="AK406" s="147">
        <v>1</v>
      </c>
      <c r="AL406" s="147">
        <f t="shared" si="90"/>
        <v>436</v>
      </c>
      <c r="AM406" s="147">
        <f t="shared" si="91"/>
        <v>87200000</v>
      </c>
      <c r="AN406" s="147"/>
    </row>
    <row r="407" spans="17:45">
      <c r="Q407" s="97" t="s">
        <v>5539</v>
      </c>
      <c r="R407" s="93">
        <v>2281961.458596</v>
      </c>
      <c r="T407" s="19" t="s">
        <v>5702</v>
      </c>
      <c r="U407" s="19">
        <v>7804</v>
      </c>
      <c r="V407" s="115">
        <v>2236.0831640000001</v>
      </c>
      <c r="W407" s="115">
        <f t="shared" si="89"/>
        <v>17450393.011856001</v>
      </c>
      <c r="X407" s="273" t="s">
        <v>5127</v>
      </c>
      <c r="AH407" s="20">
        <v>127</v>
      </c>
      <c r="AI407" s="20" t="s">
        <v>5270</v>
      </c>
      <c r="AJ407" s="115">
        <v>50000</v>
      </c>
      <c r="AK407" s="20">
        <v>4</v>
      </c>
      <c r="AL407" s="20">
        <f t="shared" si="90"/>
        <v>435</v>
      </c>
      <c r="AM407" s="20">
        <f t="shared" si="91"/>
        <v>21750000</v>
      </c>
      <c r="AN407" s="20"/>
    </row>
    <row r="408" spans="17:45">
      <c r="Q408" s="97" t="s">
        <v>5540</v>
      </c>
      <c r="R408" s="93">
        <v>10998285</v>
      </c>
      <c r="S408" t="s">
        <v>25</v>
      </c>
      <c r="T408" s="19" t="s">
        <v>5703</v>
      </c>
      <c r="U408" s="19">
        <v>14589</v>
      </c>
      <c r="V408" s="115">
        <v>2151.5486500000002</v>
      </c>
      <c r="W408" s="115">
        <f t="shared" si="89"/>
        <v>31388943.254850004</v>
      </c>
      <c r="X408" s="273" t="s">
        <v>5127</v>
      </c>
      <c r="AH408" s="20">
        <v>128</v>
      </c>
      <c r="AI408" s="20" t="s">
        <v>5272</v>
      </c>
      <c r="AJ408" s="115">
        <v>100000</v>
      </c>
      <c r="AK408" s="20">
        <v>9</v>
      </c>
      <c r="AL408" s="20">
        <f t="shared" ref="AL408:AL418" si="92">AK408+AL409</f>
        <v>431</v>
      </c>
      <c r="AM408" s="20">
        <f t="shared" ref="AM408:AM418" si="93">AJ408*AL408</f>
        <v>43100000</v>
      </c>
      <c r="AN408" s="20"/>
    </row>
    <row r="409" spans="17:45">
      <c r="Q409" s="97" t="s">
        <v>5542</v>
      </c>
      <c r="R409" s="93">
        <v>983018.96187300002</v>
      </c>
      <c r="T409" s="19" t="s">
        <v>5704</v>
      </c>
      <c r="U409" s="19">
        <v>14741</v>
      </c>
      <c r="V409" s="115">
        <v>2097.0148140000001</v>
      </c>
      <c r="W409" s="115">
        <f t="shared" si="89"/>
        <v>30912095.373174001</v>
      </c>
      <c r="X409" s="273" t="s">
        <v>5127</v>
      </c>
      <c r="Y409" t="s">
        <v>25</v>
      </c>
      <c r="AH409" s="20">
        <v>129</v>
      </c>
      <c r="AI409" s="20" t="s">
        <v>5288</v>
      </c>
      <c r="AJ409" s="115">
        <v>-550000</v>
      </c>
      <c r="AK409" s="20">
        <v>5</v>
      </c>
      <c r="AL409" s="20">
        <f t="shared" si="92"/>
        <v>422</v>
      </c>
      <c r="AM409" s="20">
        <f t="shared" si="93"/>
        <v>-232100000</v>
      </c>
      <c r="AN409" s="20"/>
    </row>
    <row r="410" spans="17:45">
      <c r="Q410" s="97" t="s">
        <v>5545</v>
      </c>
      <c r="R410" s="93">
        <v>17049271.032000002</v>
      </c>
      <c r="T410" s="19" t="s">
        <v>5706</v>
      </c>
      <c r="U410" s="19">
        <v>10237</v>
      </c>
      <c r="V410" s="115">
        <v>1914.9092619999999</v>
      </c>
      <c r="W410" s="115">
        <f t="shared" si="89"/>
        <v>19602926.115093999</v>
      </c>
      <c r="X410" s="273" t="s">
        <v>5127</v>
      </c>
      <c r="Z410" t="s">
        <v>25</v>
      </c>
      <c r="AH410" s="20">
        <v>130</v>
      </c>
      <c r="AI410" s="20" t="s">
        <v>5293</v>
      </c>
      <c r="AJ410" s="115">
        <v>-29686490</v>
      </c>
      <c r="AK410" s="20">
        <v>1</v>
      </c>
      <c r="AL410" s="20">
        <f t="shared" si="92"/>
        <v>417</v>
      </c>
      <c r="AM410" s="20">
        <f t="shared" si="93"/>
        <v>-12379266330</v>
      </c>
      <c r="AN410" s="20"/>
    </row>
    <row r="411" spans="17:45">
      <c r="Q411" s="97" t="s">
        <v>4212</v>
      </c>
      <c r="R411" s="93">
        <v>6829998</v>
      </c>
      <c r="T411" s="19" t="s">
        <v>5710</v>
      </c>
      <c r="U411" s="19">
        <v>19211</v>
      </c>
      <c r="V411" s="115">
        <v>1793.6906100000001</v>
      </c>
      <c r="W411" s="115">
        <f t="shared" si="89"/>
        <v>34458590.308710001</v>
      </c>
      <c r="X411" s="273" t="s">
        <v>5127</v>
      </c>
      <c r="Z411" t="s">
        <v>25</v>
      </c>
      <c r="AH411" s="20">
        <v>131</v>
      </c>
      <c r="AI411" s="20" t="s">
        <v>5301</v>
      </c>
      <c r="AJ411" s="115">
        <v>-9000000</v>
      </c>
      <c r="AK411" s="20">
        <v>8</v>
      </c>
      <c r="AL411" s="20">
        <f t="shared" si="92"/>
        <v>416</v>
      </c>
      <c r="AM411" s="20">
        <f t="shared" si="93"/>
        <v>-3744000000</v>
      </c>
      <c r="AN411" s="20"/>
    </row>
    <row r="412" spans="17:45">
      <c r="Q412" s="97" t="s">
        <v>5566</v>
      </c>
      <c r="R412" s="93">
        <v>6982608.8207999999</v>
      </c>
      <c r="S412" t="s">
        <v>25</v>
      </c>
      <c r="T412" s="19" t="s">
        <v>5713</v>
      </c>
      <c r="U412" s="19">
        <v>11599</v>
      </c>
      <c r="V412" s="115">
        <v>1870.667144</v>
      </c>
      <c r="W412" s="115">
        <f t="shared" si="89"/>
        <v>21697868.203256</v>
      </c>
      <c r="X412" s="273" t="s">
        <v>5127</v>
      </c>
      <c r="Y412" t="s">
        <v>25</v>
      </c>
      <c r="AH412" s="20">
        <v>132</v>
      </c>
      <c r="AI412" s="20" t="s">
        <v>5345</v>
      </c>
      <c r="AJ412" s="115">
        <v>810000</v>
      </c>
      <c r="AK412" s="20">
        <v>2</v>
      </c>
      <c r="AL412" s="20">
        <f t="shared" si="92"/>
        <v>408</v>
      </c>
      <c r="AM412" s="20">
        <f t="shared" si="93"/>
        <v>330480000</v>
      </c>
      <c r="AN412" s="20"/>
    </row>
    <row r="413" spans="17:45">
      <c r="Q413" s="97" t="s">
        <v>5572</v>
      </c>
      <c r="R413" s="93">
        <v>7510131.0216000006</v>
      </c>
      <c r="T413" s="19" t="s">
        <v>5715</v>
      </c>
      <c r="U413" s="19">
        <v>14098</v>
      </c>
      <c r="V413" s="115">
        <v>1797.423695</v>
      </c>
      <c r="W413" s="115">
        <f t="shared" si="89"/>
        <v>25340079.252110001</v>
      </c>
      <c r="X413" s="273" t="s">
        <v>5127</v>
      </c>
      <c r="AH413" s="20">
        <v>133</v>
      </c>
      <c r="AI413" s="20" t="s">
        <v>5350</v>
      </c>
      <c r="AJ413" s="115">
        <v>-5000000</v>
      </c>
      <c r="AK413" s="20">
        <v>3</v>
      </c>
      <c r="AL413" s="20">
        <f t="shared" si="92"/>
        <v>406</v>
      </c>
      <c r="AM413" s="20">
        <f t="shared" si="93"/>
        <v>-2030000000</v>
      </c>
      <c r="AN413" s="20"/>
      <c r="AR413" t="s">
        <v>25</v>
      </c>
    </row>
    <row r="414" spans="17:45">
      <c r="Q414" s="97" t="s">
        <v>5581</v>
      </c>
      <c r="R414" s="93">
        <v>7278025.5327000003</v>
      </c>
      <c r="T414" s="19" t="s">
        <v>5716</v>
      </c>
      <c r="U414" s="19">
        <v>8497</v>
      </c>
      <c r="V414" s="115">
        <v>1739.5531579999999</v>
      </c>
      <c r="W414" s="115">
        <f t="shared" si="89"/>
        <v>14780983.183526</v>
      </c>
      <c r="X414" s="273" t="s">
        <v>5127</v>
      </c>
      <c r="AH414" s="20">
        <v>134</v>
      </c>
      <c r="AI414" s="20" t="s">
        <v>5358</v>
      </c>
      <c r="AJ414" s="115">
        <v>-26000000</v>
      </c>
      <c r="AK414" s="20">
        <v>0</v>
      </c>
      <c r="AL414" s="20">
        <f t="shared" si="92"/>
        <v>403</v>
      </c>
      <c r="AM414" s="20">
        <f t="shared" si="93"/>
        <v>-10478000000</v>
      </c>
      <c r="AN414" s="20"/>
    </row>
    <row r="415" spans="17:45" ht="30">
      <c r="Q415" s="97" t="s">
        <v>5586</v>
      </c>
      <c r="R415" s="93">
        <v>195059.35799999998</v>
      </c>
      <c r="T415" s="306" t="s">
        <v>5719</v>
      </c>
      <c r="U415" s="306">
        <v>163820</v>
      </c>
      <c r="V415" s="88">
        <v>1588.685326</v>
      </c>
      <c r="W415" s="88">
        <f t="shared" si="89"/>
        <v>260258430.10532001</v>
      </c>
      <c r="X415" s="329" t="s">
        <v>5722</v>
      </c>
      <c r="AH415" s="251">
        <v>135</v>
      </c>
      <c r="AI415" s="251" t="s">
        <v>5358</v>
      </c>
      <c r="AJ415" s="242">
        <v>-26000000</v>
      </c>
      <c r="AK415" s="251">
        <v>1</v>
      </c>
      <c r="AL415" s="251">
        <f t="shared" si="92"/>
        <v>403</v>
      </c>
      <c r="AM415" s="251">
        <f t="shared" si="93"/>
        <v>-10478000000</v>
      </c>
      <c r="AN415" s="251"/>
      <c r="AS415" t="s">
        <v>25</v>
      </c>
    </row>
    <row r="416" spans="17:45">
      <c r="Q416" s="97" t="s">
        <v>5588</v>
      </c>
      <c r="R416" s="93">
        <v>862577.83200000005</v>
      </c>
      <c r="T416" s="19" t="s">
        <v>5719</v>
      </c>
      <c r="U416" s="19">
        <v>11207</v>
      </c>
      <c r="V416" s="115">
        <v>1588.685326</v>
      </c>
      <c r="W416" s="115">
        <f t="shared" si="89"/>
        <v>17804396.448481999</v>
      </c>
      <c r="X416" s="273" t="s">
        <v>5127</v>
      </c>
      <c r="Y416" t="s">
        <v>25</v>
      </c>
      <c r="Z416" t="s">
        <v>25</v>
      </c>
      <c r="AH416" s="20">
        <v>136</v>
      </c>
      <c r="AI416" s="20" t="s">
        <v>5363</v>
      </c>
      <c r="AJ416" s="115">
        <v>-81800000</v>
      </c>
      <c r="AK416" s="20">
        <v>0</v>
      </c>
      <c r="AL416" s="20">
        <f t="shared" si="92"/>
        <v>402</v>
      </c>
      <c r="AM416" s="20">
        <f t="shared" si="93"/>
        <v>-32883600000</v>
      </c>
      <c r="AN416" s="20"/>
    </row>
    <row r="417" spans="17:45">
      <c r="Q417" s="97" t="s">
        <v>5589</v>
      </c>
      <c r="R417" s="93">
        <v>920308.446</v>
      </c>
      <c r="T417" s="19" t="s">
        <v>5723</v>
      </c>
      <c r="U417" s="19">
        <v>7198</v>
      </c>
      <c r="V417" s="115">
        <v>1602.9918909999999</v>
      </c>
      <c r="W417" s="115">
        <f t="shared" si="89"/>
        <v>11538335.631417999</v>
      </c>
      <c r="X417" s="273" t="s">
        <v>5127</v>
      </c>
      <c r="Y417" t="s">
        <v>25</v>
      </c>
      <c r="AH417" s="251">
        <v>137</v>
      </c>
      <c r="AI417" s="251" t="s">
        <v>5363</v>
      </c>
      <c r="AJ417" s="242">
        <v>-110000000</v>
      </c>
      <c r="AK417" s="251">
        <v>1</v>
      </c>
      <c r="AL417" s="251">
        <f t="shared" si="92"/>
        <v>402</v>
      </c>
      <c r="AM417" s="251">
        <f t="shared" si="93"/>
        <v>-44220000000</v>
      </c>
      <c r="AN417" s="251"/>
      <c r="AR417" t="s">
        <v>25</v>
      </c>
      <c r="AS417" t="s">
        <v>25</v>
      </c>
    </row>
    <row r="418" spans="17:45">
      <c r="Q418" s="97" t="s">
        <v>5591</v>
      </c>
      <c r="R418" s="93">
        <v>4635809.8416840006</v>
      </c>
      <c r="T418" s="19" t="s">
        <v>5724</v>
      </c>
      <c r="U418" s="19">
        <v>7804</v>
      </c>
      <c r="V418" s="115">
        <v>1592.7111440000001</v>
      </c>
      <c r="W418" s="115">
        <f t="shared" si="89"/>
        <v>12429517.767776001</v>
      </c>
      <c r="X418" s="273" t="s">
        <v>5127</v>
      </c>
      <c r="Z418" t="s">
        <v>25</v>
      </c>
      <c r="AH418" s="20">
        <v>138</v>
      </c>
      <c r="AI418" s="20" t="s">
        <v>5364</v>
      </c>
      <c r="AJ418" s="115">
        <v>-34000000</v>
      </c>
      <c r="AK418" s="20">
        <v>0</v>
      </c>
      <c r="AL418" s="20">
        <f t="shared" si="92"/>
        <v>401</v>
      </c>
      <c r="AM418" s="20">
        <f t="shared" si="93"/>
        <v>-13634000000</v>
      </c>
      <c r="AN418" s="20"/>
    </row>
    <row r="419" spans="17:45">
      <c r="Q419" s="97" t="s">
        <v>5620</v>
      </c>
      <c r="R419" s="93">
        <v>288892.40000000002</v>
      </c>
      <c r="T419" s="19" t="s">
        <v>5734</v>
      </c>
      <c r="U419" s="19">
        <v>2827</v>
      </c>
      <c r="V419" s="115">
        <v>1779.6874809999999</v>
      </c>
      <c r="W419" s="115">
        <f t="shared" si="89"/>
        <v>5031176.5087869996</v>
      </c>
      <c r="X419" s="273" t="s">
        <v>5127</v>
      </c>
      <c r="Y419" t="s">
        <v>25</v>
      </c>
      <c r="AH419" s="147">
        <v>139</v>
      </c>
      <c r="AI419" s="147" t="s">
        <v>5364</v>
      </c>
      <c r="AJ419" s="186">
        <v>-23900000</v>
      </c>
      <c r="AK419" s="147">
        <v>5</v>
      </c>
      <c r="AL419" s="147">
        <f t="shared" ref="AL419:AL424" si="94">AK419+AL420</f>
        <v>401</v>
      </c>
      <c r="AM419" s="147">
        <f t="shared" ref="AM419:AM424" si="95">AJ419*AL419</f>
        <v>-9583900000</v>
      </c>
      <c r="AN419" s="147"/>
    </row>
    <row r="420" spans="17:45">
      <c r="Q420" s="97" t="s">
        <v>5621</v>
      </c>
      <c r="R420" s="93">
        <v>58508002.009000003</v>
      </c>
      <c r="T420" s="19" t="s">
        <v>5736</v>
      </c>
      <c r="U420" s="19">
        <v>3385</v>
      </c>
      <c r="V420" s="115">
        <v>2015.5993820000001</v>
      </c>
      <c r="W420" s="115">
        <f t="shared" si="89"/>
        <v>6822803.9080700008</v>
      </c>
      <c r="X420" s="273" t="s">
        <v>5127</v>
      </c>
      <c r="Y420" t="s">
        <v>25</v>
      </c>
      <c r="Z420" t="s">
        <v>25</v>
      </c>
      <c r="AH420" s="20">
        <v>140</v>
      </c>
      <c r="AI420" s="20" t="s">
        <v>5377</v>
      </c>
      <c r="AJ420" s="115">
        <v>1000000</v>
      </c>
      <c r="AK420" s="20">
        <v>0</v>
      </c>
      <c r="AL420" s="20">
        <f t="shared" si="94"/>
        <v>396</v>
      </c>
      <c r="AM420" s="20">
        <f t="shared" si="95"/>
        <v>396000000</v>
      </c>
      <c r="AN420" s="20"/>
      <c r="AR420" t="s">
        <v>25</v>
      </c>
    </row>
    <row r="421" spans="17:45">
      <c r="Q421" s="97" t="s">
        <v>5623</v>
      </c>
      <c r="R421" s="93">
        <v>2245515.5410799999</v>
      </c>
      <c r="S421" t="s">
        <v>25</v>
      </c>
      <c r="T421" s="19" t="s">
        <v>5740</v>
      </c>
      <c r="U421" s="19">
        <v>158</v>
      </c>
      <c r="V421" s="115">
        <v>2094.2388179999998</v>
      </c>
      <c r="W421" s="115">
        <f t="shared" si="89"/>
        <v>330889.73324399994</v>
      </c>
      <c r="X421" s="273" t="s">
        <v>5127</v>
      </c>
      <c r="Y421" t="s">
        <v>25</v>
      </c>
      <c r="AH421" s="147">
        <v>141</v>
      </c>
      <c r="AI421" s="147" t="s">
        <v>5377</v>
      </c>
      <c r="AJ421" s="186">
        <v>1000000</v>
      </c>
      <c r="AK421" s="147">
        <v>4</v>
      </c>
      <c r="AL421" s="147">
        <f t="shared" si="94"/>
        <v>396</v>
      </c>
      <c r="AM421" s="147">
        <f t="shared" si="95"/>
        <v>396000000</v>
      </c>
      <c r="AN421" s="147"/>
    </row>
    <row r="422" spans="17:45">
      <c r="Q422" s="97" t="s">
        <v>5623</v>
      </c>
      <c r="R422" s="93">
        <v>18404699.3442</v>
      </c>
      <c r="T422" s="19" t="s">
        <v>965</v>
      </c>
      <c r="U422" s="19">
        <v>5033</v>
      </c>
      <c r="V422" s="115">
        <v>2229.4976999999999</v>
      </c>
      <c r="W422" s="115">
        <f t="shared" si="89"/>
        <v>11221061.924099999</v>
      </c>
      <c r="X422" s="273" t="s">
        <v>5746</v>
      </c>
      <c r="Z422" t="s">
        <v>25</v>
      </c>
      <c r="AH422" s="20">
        <v>142</v>
      </c>
      <c r="AI422" s="20" t="s">
        <v>5383</v>
      </c>
      <c r="AJ422" s="115">
        <v>400000</v>
      </c>
      <c r="AK422" s="20">
        <v>0</v>
      </c>
      <c r="AL422" s="20">
        <f t="shared" si="94"/>
        <v>392</v>
      </c>
      <c r="AM422" s="20">
        <f t="shared" si="95"/>
        <v>156800000</v>
      </c>
      <c r="AN422" s="20"/>
    </row>
    <row r="423" spans="17:45">
      <c r="Q423" s="97" t="s">
        <v>5626</v>
      </c>
      <c r="R423" s="93">
        <v>48684800</v>
      </c>
      <c r="T423" s="19" t="s">
        <v>5750</v>
      </c>
      <c r="U423" s="19">
        <v>2870</v>
      </c>
      <c r="V423" s="115">
        <v>2303.2467459999998</v>
      </c>
      <c r="W423" s="115">
        <f t="shared" si="89"/>
        <v>6610318.1610199995</v>
      </c>
      <c r="X423" s="273" t="s">
        <v>5127</v>
      </c>
      <c r="AH423" s="147">
        <v>143</v>
      </c>
      <c r="AI423" s="147" t="s">
        <v>5383</v>
      </c>
      <c r="AJ423" s="186">
        <v>400000</v>
      </c>
      <c r="AK423" s="147">
        <v>35</v>
      </c>
      <c r="AL423" s="147">
        <f t="shared" si="94"/>
        <v>392</v>
      </c>
      <c r="AM423" s="147">
        <f t="shared" si="95"/>
        <v>156800000</v>
      </c>
      <c r="AN423" s="147"/>
    </row>
    <row r="424" spans="17:45">
      <c r="Q424" s="97" t="s">
        <v>5628</v>
      </c>
      <c r="R424" s="93">
        <v>2264658.5922190002</v>
      </c>
      <c r="T424" s="19" t="s">
        <v>5751</v>
      </c>
      <c r="U424" s="19">
        <v>307</v>
      </c>
      <c r="V424" s="115">
        <v>2315.0266360000001</v>
      </c>
      <c r="W424" s="115">
        <f t="shared" si="89"/>
        <v>710713.17725199996</v>
      </c>
      <c r="X424" s="273" t="s">
        <v>5127</v>
      </c>
      <c r="AH424" s="20">
        <v>144</v>
      </c>
      <c r="AI424" s="20" t="s">
        <v>5417</v>
      </c>
      <c r="AJ424" s="115">
        <v>3000000</v>
      </c>
      <c r="AK424" s="20">
        <v>0</v>
      </c>
      <c r="AL424" s="20">
        <f t="shared" si="94"/>
        <v>357</v>
      </c>
      <c r="AM424" s="20">
        <f t="shared" si="95"/>
        <v>1071000000</v>
      </c>
      <c r="AN424" s="20"/>
    </row>
    <row r="425" spans="17:45" ht="30">
      <c r="Q425" s="97" t="s">
        <v>5631</v>
      </c>
      <c r="R425" s="93">
        <v>22877413.789960001</v>
      </c>
      <c r="T425" s="19" t="s">
        <v>5753</v>
      </c>
      <c r="U425" s="19">
        <v>35</v>
      </c>
      <c r="V425" s="115">
        <v>2315</v>
      </c>
      <c r="W425" s="115">
        <f t="shared" si="89"/>
        <v>81025</v>
      </c>
      <c r="X425" s="273" t="s">
        <v>5755</v>
      </c>
      <c r="Y425" s="112"/>
      <c r="AH425" s="147">
        <v>145</v>
      </c>
      <c r="AI425" s="147" t="s">
        <v>5417</v>
      </c>
      <c r="AJ425" s="186">
        <v>2725000</v>
      </c>
      <c r="AK425" s="147">
        <v>19</v>
      </c>
      <c r="AL425" s="147">
        <f t="shared" ref="AL425:AL428" si="96">AK425+AL426</f>
        <v>357</v>
      </c>
      <c r="AM425" s="147">
        <f t="shared" ref="AM425:AM428" si="97">AJ425*AL425</f>
        <v>972825000</v>
      </c>
      <c r="AN425" s="147"/>
    </row>
    <row r="426" spans="17:45">
      <c r="Q426" s="97" t="s">
        <v>5632</v>
      </c>
      <c r="R426" s="93">
        <v>2362539.4373280001</v>
      </c>
      <c r="S426" t="s">
        <v>25</v>
      </c>
      <c r="T426" s="19" t="s">
        <v>5756</v>
      </c>
      <c r="U426" s="19">
        <v>94</v>
      </c>
      <c r="V426" s="115">
        <v>2337.1980119999998</v>
      </c>
      <c r="W426" s="115">
        <f t="shared" si="89"/>
        <v>219696.613128</v>
      </c>
      <c r="X426" s="273" t="s">
        <v>5127</v>
      </c>
      <c r="Y426" t="s">
        <v>25</v>
      </c>
      <c r="Z426" t="s">
        <v>25</v>
      </c>
      <c r="AH426" s="147">
        <v>146</v>
      </c>
      <c r="AI426" s="147" t="s">
        <v>5311</v>
      </c>
      <c r="AJ426" s="186">
        <v>-8644090</v>
      </c>
      <c r="AK426" s="147">
        <v>0</v>
      </c>
      <c r="AL426" s="147">
        <f t="shared" si="96"/>
        <v>338</v>
      </c>
      <c r="AM426" s="147">
        <f t="shared" si="97"/>
        <v>-2921702420</v>
      </c>
      <c r="AN426" s="147" t="s">
        <v>4746</v>
      </c>
    </row>
    <row r="427" spans="17:45">
      <c r="Q427" s="97" t="s">
        <v>5633</v>
      </c>
      <c r="R427" s="93">
        <v>16042676.656608</v>
      </c>
      <c r="T427" s="19" t="s">
        <v>5757</v>
      </c>
      <c r="U427" s="19">
        <v>2534</v>
      </c>
      <c r="V427" s="115">
        <v>2381.7965300000001</v>
      </c>
      <c r="W427" s="115">
        <f t="shared" si="89"/>
        <v>6035472.4070199998</v>
      </c>
      <c r="X427" s="273" t="s">
        <v>5127</v>
      </c>
      <c r="AH427" s="20">
        <v>147</v>
      </c>
      <c r="AI427" s="20" t="s">
        <v>5311</v>
      </c>
      <c r="AJ427" s="115">
        <v>-65461942</v>
      </c>
      <c r="AK427" s="20">
        <v>1</v>
      </c>
      <c r="AL427" s="20">
        <f t="shared" si="96"/>
        <v>338</v>
      </c>
      <c r="AM427" s="20">
        <f t="shared" si="97"/>
        <v>-22126136396</v>
      </c>
      <c r="AN427" s="20" t="s">
        <v>4746</v>
      </c>
    </row>
    <row r="428" spans="17:45">
      <c r="Q428" s="97" t="s">
        <v>5636</v>
      </c>
      <c r="R428" s="93">
        <v>18403291.448284</v>
      </c>
      <c r="T428" s="19" t="s">
        <v>5759</v>
      </c>
      <c r="U428" s="19">
        <v>424</v>
      </c>
      <c r="V428" s="115">
        <v>2321.9017680000002</v>
      </c>
      <c r="W428" s="115">
        <f t="shared" si="89"/>
        <v>984486.34963200008</v>
      </c>
      <c r="X428" s="273" t="s">
        <v>5127</v>
      </c>
      <c r="Z428" t="s">
        <v>25</v>
      </c>
      <c r="AH428" s="20">
        <v>148</v>
      </c>
      <c r="AI428" s="20" t="s">
        <v>5440</v>
      </c>
      <c r="AJ428" s="115">
        <v>35000000</v>
      </c>
      <c r="AK428" s="20">
        <v>15</v>
      </c>
      <c r="AL428" s="20">
        <f t="shared" si="96"/>
        <v>337</v>
      </c>
      <c r="AM428" s="20">
        <f t="shared" si="97"/>
        <v>11795000000</v>
      </c>
      <c r="AN428" s="20"/>
    </row>
    <row r="429" spans="17:45">
      <c r="Q429" s="97" t="s">
        <v>5637</v>
      </c>
      <c r="R429" s="93">
        <v>10561447.246918</v>
      </c>
      <c r="T429" s="187" t="s">
        <v>5761</v>
      </c>
      <c r="U429" s="187">
        <v>-32</v>
      </c>
      <c r="V429" s="186">
        <v>2221.2123710000001</v>
      </c>
      <c r="W429" s="186">
        <f t="shared" si="89"/>
        <v>-71078.795872000002</v>
      </c>
      <c r="X429" s="272" t="s">
        <v>5765</v>
      </c>
      <c r="AH429" s="147">
        <v>149</v>
      </c>
      <c r="AI429" s="147" t="s">
        <v>5461</v>
      </c>
      <c r="AJ429" s="186">
        <v>1400000</v>
      </c>
      <c r="AK429" s="147">
        <v>0</v>
      </c>
      <c r="AL429" s="147">
        <f t="shared" ref="AL429:AL431" si="98">AK429+AL430</f>
        <v>322</v>
      </c>
      <c r="AM429" s="147">
        <f t="shared" ref="AM429:AM432" si="99">AJ429*AL429</f>
        <v>450800000</v>
      </c>
      <c r="AN429" s="147"/>
    </row>
    <row r="430" spans="17:45">
      <c r="Q430" s="97" t="s">
        <v>5638</v>
      </c>
      <c r="R430" s="93">
        <v>1226811.9176660001</v>
      </c>
      <c r="T430" s="19" t="s">
        <v>5761</v>
      </c>
      <c r="U430" s="19">
        <v>157</v>
      </c>
      <c r="V430" s="115">
        <v>2221.2123710000001</v>
      </c>
      <c r="W430" s="115">
        <f t="shared" si="89"/>
        <v>348730.34224700002</v>
      </c>
      <c r="X430" s="273" t="s">
        <v>5766</v>
      </c>
      <c r="AH430" s="20">
        <v>150</v>
      </c>
      <c r="AI430" s="20" t="s">
        <v>5461</v>
      </c>
      <c r="AJ430" s="115">
        <v>1600000</v>
      </c>
      <c r="AK430" s="20">
        <v>1</v>
      </c>
      <c r="AL430" s="20">
        <f t="shared" si="98"/>
        <v>322</v>
      </c>
      <c r="AM430" s="20">
        <f t="shared" si="99"/>
        <v>515200000</v>
      </c>
      <c r="AN430" s="20"/>
    </row>
    <row r="431" spans="17:45">
      <c r="Q431" s="97" t="s">
        <v>5643</v>
      </c>
      <c r="R431" s="93">
        <v>39373959.190266006</v>
      </c>
      <c r="T431" s="19" t="s">
        <v>5761</v>
      </c>
      <c r="U431" s="19">
        <v>965</v>
      </c>
      <c r="V431" s="115">
        <v>2221.2123710000001</v>
      </c>
      <c r="W431" s="115">
        <f t="shared" si="89"/>
        <v>2143469.938015</v>
      </c>
      <c r="X431" s="273" t="s">
        <v>5127</v>
      </c>
      <c r="AH431" s="147">
        <v>151</v>
      </c>
      <c r="AI431" s="147" t="s">
        <v>5464</v>
      </c>
      <c r="AJ431" s="186">
        <v>600000</v>
      </c>
      <c r="AK431" s="147">
        <v>0</v>
      </c>
      <c r="AL431" s="147">
        <f t="shared" si="98"/>
        <v>321</v>
      </c>
      <c r="AM431" s="147">
        <f t="shared" si="99"/>
        <v>192600000</v>
      </c>
      <c r="AN431" s="147" t="s">
        <v>5466</v>
      </c>
    </row>
    <row r="432" spans="17:45">
      <c r="Q432" s="97" t="s">
        <v>5644</v>
      </c>
      <c r="R432" s="93">
        <v>27703487.063980002</v>
      </c>
      <c r="T432" s="187" t="s">
        <v>5768</v>
      </c>
      <c r="U432" s="187">
        <v>596</v>
      </c>
      <c r="V432" s="186">
        <v>2180.6765719999999</v>
      </c>
      <c r="W432" s="186">
        <f t="shared" si="89"/>
        <v>1299683.236912</v>
      </c>
      <c r="X432" s="272" t="s">
        <v>1071</v>
      </c>
      <c r="Y432" t="s">
        <v>25</v>
      </c>
      <c r="AH432" s="20">
        <v>152</v>
      </c>
      <c r="AI432" s="20" t="s">
        <v>5464</v>
      </c>
      <c r="AJ432" s="115">
        <v>600000</v>
      </c>
      <c r="AK432" s="20">
        <v>9</v>
      </c>
      <c r="AL432" s="20">
        <f>AK432+AL433</f>
        <v>321</v>
      </c>
      <c r="AM432" s="20">
        <f t="shared" si="99"/>
        <v>192600000</v>
      </c>
      <c r="AN432" s="20" t="s">
        <v>5466</v>
      </c>
    </row>
    <row r="433" spans="17:45">
      <c r="Q433" s="97" t="s">
        <v>4185</v>
      </c>
      <c r="R433" s="93">
        <v>8738896.6890719999</v>
      </c>
      <c r="T433" s="19" t="s">
        <v>5774</v>
      </c>
      <c r="U433" s="19">
        <v>1355</v>
      </c>
      <c r="V433" s="115">
        <v>2277.0926330000002</v>
      </c>
      <c r="W433" s="115">
        <f t="shared" si="89"/>
        <v>3085460.5177150001</v>
      </c>
      <c r="X433" s="273" t="s">
        <v>5127</v>
      </c>
      <c r="AH433" s="20">
        <v>153</v>
      </c>
      <c r="AI433" s="20" t="s">
        <v>5483</v>
      </c>
      <c r="AJ433" s="115">
        <v>20000000</v>
      </c>
      <c r="AK433" s="20">
        <v>23</v>
      </c>
      <c r="AL433" s="20">
        <f t="shared" ref="AL433:AL434" si="100">AK433+AL434</f>
        <v>312</v>
      </c>
      <c r="AM433" s="20">
        <f t="shared" ref="AM433:AM435" si="101">AJ433*AL433</f>
        <v>6240000000</v>
      </c>
      <c r="AN433" s="20" t="s">
        <v>5499</v>
      </c>
    </row>
    <row r="434" spans="17:45">
      <c r="Q434" s="97" t="s">
        <v>5646</v>
      </c>
      <c r="R434" s="93">
        <v>348201.66738</v>
      </c>
      <c r="T434" s="19" t="s">
        <v>5776</v>
      </c>
      <c r="U434" s="19">
        <v>3742</v>
      </c>
      <c r="V434" s="115">
        <v>2207.7650429999999</v>
      </c>
      <c r="W434" s="115">
        <f t="shared" si="89"/>
        <v>8261456.790906</v>
      </c>
      <c r="X434" s="273" t="s">
        <v>5127</v>
      </c>
      <c r="Y434" t="s">
        <v>25</v>
      </c>
      <c r="AH434" s="20">
        <v>154</v>
      </c>
      <c r="AI434" s="20" t="s">
        <v>5523</v>
      </c>
      <c r="AJ434" s="115">
        <v>-46183500</v>
      </c>
      <c r="AK434" s="20">
        <v>0</v>
      </c>
      <c r="AL434" s="20">
        <f t="shared" si="100"/>
        <v>289</v>
      </c>
      <c r="AM434" s="20">
        <f t="shared" si="101"/>
        <v>-13347031500</v>
      </c>
      <c r="AN434" s="20" t="s">
        <v>4874</v>
      </c>
    </row>
    <row r="435" spans="17:45">
      <c r="Q435" s="97" t="s">
        <v>5650</v>
      </c>
      <c r="R435" s="93">
        <v>4158090.8935679998</v>
      </c>
      <c r="T435" s="19" t="s">
        <v>5778</v>
      </c>
      <c r="U435" s="19">
        <v>3216</v>
      </c>
      <c r="V435" s="115">
        <v>2043.648557</v>
      </c>
      <c r="W435" s="115">
        <f t="shared" si="89"/>
        <v>6572373.7593120001</v>
      </c>
      <c r="X435" s="273" t="s">
        <v>5127</v>
      </c>
      <c r="AH435" s="147">
        <v>155</v>
      </c>
      <c r="AI435" s="147" t="s">
        <v>5523</v>
      </c>
      <c r="AJ435" s="186">
        <v>-1812800</v>
      </c>
      <c r="AK435" s="147">
        <v>2</v>
      </c>
      <c r="AL435" s="147">
        <f>AK435+AL436</f>
        <v>289</v>
      </c>
      <c r="AM435" s="147">
        <f t="shared" si="101"/>
        <v>-523899200</v>
      </c>
      <c r="AN435" s="147" t="s">
        <v>4874</v>
      </c>
      <c r="AQ435" t="s">
        <v>25</v>
      </c>
    </row>
    <row r="436" spans="17:45">
      <c r="Q436" s="97" t="s">
        <v>5647</v>
      </c>
      <c r="R436" s="93">
        <v>110770524.97879399</v>
      </c>
      <c r="T436" s="187" t="s">
        <v>5781</v>
      </c>
      <c r="U436" s="187">
        <v>42393</v>
      </c>
      <c r="V436" s="186">
        <v>2124.4852740000001</v>
      </c>
      <c r="W436" s="186">
        <f t="shared" si="89"/>
        <v>90063304.22068201</v>
      </c>
      <c r="X436" s="272" t="s">
        <v>5782</v>
      </c>
      <c r="Y436" t="s">
        <v>25</v>
      </c>
      <c r="AH436" s="20">
        <v>156</v>
      </c>
      <c r="AI436" s="20" t="s">
        <v>5527</v>
      </c>
      <c r="AJ436" s="115">
        <v>90000</v>
      </c>
      <c r="AK436" s="20">
        <v>0</v>
      </c>
      <c r="AL436" s="20">
        <f t="shared" ref="AL436:AL450" si="102">AK436+AL437</f>
        <v>287</v>
      </c>
      <c r="AM436" s="20">
        <f t="shared" ref="AM436:AM450" si="103">AJ436*AL436</f>
        <v>25830000</v>
      </c>
      <c r="AN436" s="20"/>
    </row>
    <row r="437" spans="17:45">
      <c r="Q437" s="97" t="s">
        <v>5650</v>
      </c>
      <c r="R437" s="93">
        <v>17900000</v>
      </c>
      <c r="T437" s="19" t="s">
        <v>5783</v>
      </c>
      <c r="U437" s="19">
        <v>1307</v>
      </c>
      <c r="V437" s="115">
        <v>2213.652313</v>
      </c>
      <c r="W437" s="115">
        <f t="shared" si="89"/>
        <v>2893243.5730909999</v>
      </c>
      <c r="X437" s="273" t="s">
        <v>5127</v>
      </c>
      <c r="AH437" s="147">
        <v>157</v>
      </c>
      <c r="AI437" s="147" t="s">
        <v>5527</v>
      </c>
      <c r="AJ437" s="186">
        <v>60000</v>
      </c>
      <c r="AK437" s="147">
        <v>5</v>
      </c>
      <c r="AL437" s="147">
        <f t="shared" si="102"/>
        <v>287</v>
      </c>
      <c r="AM437" s="147">
        <f t="shared" si="103"/>
        <v>17220000</v>
      </c>
      <c r="AN437" s="147"/>
    </row>
    <row r="438" spans="17:45">
      <c r="Q438" s="97" t="s">
        <v>5662</v>
      </c>
      <c r="R438" s="93">
        <v>12114824.927374</v>
      </c>
      <c r="T438" s="19" t="s">
        <v>5785</v>
      </c>
      <c r="U438" s="19">
        <v>44079</v>
      </c>
      <c r="V438" s="115">
        <v>2155.0411519999998</v>
      </c>
      <c r="W438" s="115">
        <f t="shared" si="89"/>
        <v>94992058.939007998</v>
      </c>
      <c r="X438" s="273" t="s">
        <v>5127</v>
      </c>
      <c r="Y438" t="s">
        <v>25</v>
      </c>
      <c r="Z438" t="s">
        <v>25</v>
      </c>
      <c r="AH438" s="20">
        <v>158</v>
      </c>
      <c r="AI438" s="20" t="s">
        <v>5532</v>
      </c>
      <c r="AJ438" s="115">
        <v>50000000</v>
      </c>
      <c r="AK438" s="20">
        <v>29</v>
      </c>
      <c r="AL438" s="20">
        <f t="shared" si="102"/>
        <v>282</v>
      </c>
      <c r="AM438" s="20">
        <f t="shared" si="103"/>
        <v>14100000000</v>
      </c>
      <c r="AN438" s="20" t="s">
        <v>5534</v>
      </c>
    </row>
    <row r="439" spans="17:45">
      <c r="Q439" s="97" t="s">
        <v>5665</v>
      </c>
      <c r="R439" s="93">
        <v>6684147.0064600008</v>
      </c>
      <c r="T439" s="19" t="s">
        <v>5792</v>
      </c>
      <c r="U439" s="19">
        <v>131</v>
      </c>
      <c r="V439" s="115">
        <v>2099.4040150000001</v>
      </c>
      <c r="W439" s="115">
        <f t="shared" si="89"/>
        <v>275021.925965</v>
      </c>
      <c r="X439" s="273" t="s">
        <v>5127</v>
      </c>
      <c r="Y439" t="s">
        <v>25</v>
      </c>
      <c r="AH439" s="20">
        <v>159</v>
      </c>
      <c r="AI439" s="20" t="s">
        <v>5591</v>
      </c>
      <c r="AJ439" s="115">
        <v>100000</v>
      </c>
      <c r="AK439" s="20">
        <v>1</v>
      </c>
      <c r="AL439" s="20">
        <f t="shared" si="102"/>
        <v>253</v>
      </c>
      <c r="AM439" s="20">
        <f t="shared" si="103"/>
        <v>25300000</v>
      </c>
      <c r="AN439" s="20"/>
      <c r="AS439" t="s">
        <v>25</v>
      </c>
    </row>
    <row r="440" spans="17:45">
      <c r="Q440" s="97" t="s">
        <v>5669</v>
      </c>
      <c r="R440" s="93">
        <v>1826535.2307560001</v>
      </c>
      <c r="T440" s="19" t="s">
        <v>5800</v>
      </c>
      <c r="U440" s="19">
        <v>162</v>
      </c>
      <c r="V440" s="115">
        <v>2021.3081500000001</v>
      </c>
      <c r="W440" s="115">
        <f t="shared" si="89"/>
        <v>327451.9203</v>
      </c>
      <c r="X440" s="273" t="s">
        <v>5127</v>
      </c>
      <c r="Z440" t="s">
        <v>25</v>
      </c>
      <c r="AH440" s="147">
        <v>160</v>
      </c>
      <c r="AI440" s="147" t="s">
        <v>5580</v>
      </c>
      <c r="AJ440" s="186">
        <v>150000</v>
      </c>
      <c r="AK440" s="147">
        <v>0</v>
      </c>
      <c r="AL440" s="147">
        <f t="shared" si="102"/>
        <v>252</v>
      </c>
      <c r="AM440" s="147">
        <f t="shared" si="103"/>
        <v>37800000</v>
      </c>
      <c r="AN440" s="147"/>
    </row>
    <row r="441" spans="17:45">
      <c r="Q441" s="97" t="s">
        <v>5671</v>
      </c>
      <c r="R441" s="93">
        <v>3577366.94</v>
      </c>
      <c r="T441" s="19" t="s">
        <v>5812</v>
      </c>
      <c r="U441" s="19">
        <v>131</v>
      </c>
      <c r="V441" s="115">
        <v>1985.358328</v>
      </c>
      <c r="W441" s="115">
        <f t="shared" si="89"/>
        <v>260081.94096800001</v>
      </c>
      <c r="X441" s="273" t="s">
        <v>5127</v>
      </c>
      <c r="Z441" t="s">
        <v>25</v>
      </c>
      <c r="AH441" s="20">
        <v>161</v>
      </c>
      <c r="AI441" s="20" t="s">
        <v>5580</v>
      </c>
      <c r="AJ441" s="115">
        <v>-683050</v>
      </c>
      <c r="AK441" s="20">
        <v>7</v>
      </c>
      <c r="AL441" s="20">
        <f t="shared" si="102"/>
        <v>252</v>
      </c>
      <c r="AM441" s="20">
        <f t="shared" si="103"/>
        <v>-172128600</v>
      </c>
      <c r="AN441" s="20" t="s">
        <v>5594</v>
      </c>
    </row>
    <row r="442" spans="17:45">
      <c r="Q442" s="97" t="s">
        <v>5675</v>
      </c>
      <c r="R442" s="93">
        <v>21239029.173567999</v>
      </c>
      <c r="T442" s="19" t="s">
        <v>5823</v>
      </c>
      <c r="U442" s="19">
        <v>1449</v>
      </c>
      <c r="V442" s="115">
        <v>2007.787806</v>
      </c>
      <c r="W442" s="115">
        <f t="shared" si="89"/>
        <v>2909284.5308940001</v>
      </c>
      <c r="X442" s="273" t="s">
        <v>5127</v>
      </c>
      <c r="Z442" t="s">
        <v>25</v>
      </c>
      <c r="AH442" s="147">
        <v>162</v>
      </c>
      <c r="AI442" s="147" t="s">
        <v>5602</v>
      </c>
      <c r="AJ442" s="186">
        <v>200000</v>
      </c>
      <c r="AK442" s="147">
        <v>7</v>
      </c>
      <c r="AL442" s="147">
        <f t="shared" si="102"/>
        <v>245</v>
      </c>
      <c r="AM442" s="147">
        <f t="shared" si="103"/>
        <v>49000000</v>
      </c>
      <c r="AN442" s="147"/>
    </row>
    <row r="443" spans="17:45">
      <c r="Q443" s="97" t="s">
        <v>5680</v>
      </c>
      <c r="R443" s="93">
        <v>242957252.40163299</v>
      </c>
      <c r="T443" s="19" t="s">
        <v>5824</v>
      </c>
      <c r="U443" s="19">
        <v>19028</v>
      </c>
      <c r="V443" s="115">
        <v>1982.5102529999999</v>
      </c>
      <c r="W443" s="115">
        <f t="shared" si="89"/>
        <v>37723205.094084002</v>
      </c>
      <c r="X443" s="273" t="s">
        <v>5127</v>
      </c>
      <c r="Y443" t="s">
        <v>25</v>
      </c>
      <c r="Z443" t="s">
        <v>25</v>
      </c>
      <c r="AH443" s="147">
        <v>163</v>
      </c>
      <c r="AI443" s="147" t="s">
        <v>5607</v>
      </c>
      <c r="AJ443" s="186">
        <v>150000</v>
      </c>
      <c r="AK443" s="147">
        <v>5</v>
      </c>
      <c r="AL443" s="147">
        <f t="shared" si="102"/>
        <v>238</v>
      </c>
      <c r="AM443" s="147">
        <f t="shared" si="103"/>
        <v>35700000</v>
      </c>
      <c r="AN443" s="147"/>
    </row>
    <row r="444" spans="17:45">
      <c r="Q444" s="97" t="s">
        <v>5681</v>
      </c>
      <c r="R444" s="93">
        <v>7357181.2750800001</v>
      </c>
      <c r="T444" s="19" t="s">
        <v>5825</v>
      </c>
      <c r="U444" s="19">
        <v>848</v>
      </c>
      <c r="V444" s="115">
        <v>1768.97966</v>
      </c>
      <c r="W444" s="115">
        <f t="shared" si="89"/>
        <v>1500094.75168</v>
      </c>
      <c r="X444" s="273" t="s">
        <v>5127</v>
      </c>
      <c r="AH444" s="20">
        <v>164</v>
      </c>
      <c r="AI444" s="20" t="s">
        <v>5611</v>
      </c>
      <c r="AJ444" s="115">
        <v>320000</v>
      </c>
      <c r="AK444" s="20">
        <v>2</v>
      </c>
      <c r="AL444" s="20">
        <f t="shared" si="102"/>
        <v>233</v>
      </c>
      <c r="AM444" s="20">
        <f t="shared" si="103"/>
        <v>74560000</v>
      </c>
      <c r="AN444" s="20"/>
      <c r="AR444" t="s">
        <v>25</v>
      </c>
    </row>
    <row r="445" spans="17:45">
      <c r="Q445" s="97" t="s">
        <v>5685</v>
      </c>
      <c r="R445" s="93">
        <v>14951411.942400001</v>
      </c>
      <c r="T445" s="19" t="s">
        <v>5826</v>
      </c>
      <c r="U445" s="19">
        <v>3824</v>
      </c>
      <c r="V445" s="115">
        <v>1890.8547169999999</v>
      </c>
      <c r="W445" s="115">
        <f t="shared" si="89"/>
        <v>7230628.4378079996</v>
      </c>
      <c r="X445" s="273" t="s">
        <v>5127</v>
      </c>
      <c r="AH445" s="20">
        <v>165</v>
      </c>
      <c r="AI445" s="20" t="s">
        <v>5612</v>
      </c>
      <c r="AJ445" s="115">
        <v>200000</v>
      </c>
      <c r="AK445" s="20">
        <v>29</v>
      </c>
      <c r="AL445" s="20">
        <f t="shared" si="102"/>
        <v>231</v>
      </c>
      <c r="AM445" s="20">
        <f t="shared" si="103"/>
        <v>46200000</v>
      </c>
      <c r="AN445" s="20"/>
    </row>
    <row r="446" spans="17:45">
      <c r="Q446" s="97" t="s">
        <v>5687</v>
      </c>
      <c r="R446" s="93">
        <v>47928209.377011999</v>
      </c>
      <c r="T446" s="19" t="s">
        <v>5828</v>
      </c>
      <c r="U446" s="19">
        <v>14010</v>
      </c>
      <c r="V446" s="115">
        <v>2124.7244390000001</v>
      </c>
      <c r="W446" s="115">
        <f t="shared" si="89"/>
        <v>29767389.390390001</v>
      </c>
      <c r="X446" s="273" t="s">
        <v>5127</v>
      </c>
      <c r="AA446" t="s">
        <v>25</v>
      </c>
      <c r="AH446" s="20">
        <v>166</v>
      </c>
      <c r="AI446" s="20" t="s">
        <v>5647</v>
      </c>
      <c r="AJ446" s="115">
        <v>4200000</v>
      </c>
      <c r="AK446" s="20">
        <v>0</v>
      </c>
      <c r="AL446" s="20">
        <f t="shared" si="102"/>
        <v>202</v>
      </c>
      <c r="AM446" s="20">
        <f t="shared" si="103"/>
        <v>848400000</v>
      </c>
      <c r="AN446" s="20"/>
      <c r="AQ446" t="s">
        <v>25</v>
      </c>
    </row>
    <row r="447" spans="17:45">
      <c r="Q447" s="97" t="s">
        <v>5689</v>
      </c>
      <c r="R447" s="93">
        <v>2281595.69937</v>
      </c>
      <c r="T447" s="19" t="s">
        <v>5829</v>
      </c>
      <c r="U447" s="19">
        <v>73</v>
      </c>
      <c r="V447" s="115">
        <v>2076.1678900000002</v>
      </c>
      <c r="W447" s="115">
        <f t="shared" si="89"/>
        <v>151560.25597</v>
      </c>
      <c r="X447" s="273" t="s">
        <v>5127</v>
      </c>
      <c r="AH447" s="147">
        <v>167</v>
      </c>
      <c r="AI447" s="147" t="s">
        <v>5647</v>
      </c>
      <c r="AJ447" s="186">
        <v>3300000</v>
      </c>
      <c r="AK447" s="147">
        <v>11</v>
      </c>
      <c r="AL447" s="147">
        <f t="shared" si="102"/>
        <v>202</v>
      </c>
      <c r="AM447" s="147">
        <f t="shared" si="103"/>
        <v>666600000</v>
      </c>
      <c r="AN447" s="147"/>
    </row>
    <row r="448" spans="17:45">
      <c r="Q448" s="97" t="s">
        <v>5690</v>
      </c>
      <c r="R448" s="93">
        <v>2964916.035069</v>
      </c>
      <c r="T448" s="19" t="s">
        <v>5831</v>
      </c>
      <c r="U448" s="19">
        <v>236</v>
      </c>
      <c r="V448" s="115">
        <v>2039.4867830000001</v>
      </c>
      <c r="W448" s="115">
        <f t="shared" si="89"/>
        <v>481318.88078800001</v>
      </c>
      <c r="X448" s="273" t="s">
        <v>5127</v>
      </c>
      <c r="AH448" s="147">
        <v>168</v>
      </c>
      <c r="AI448" s="147" t="s">
        <v>5671</v>
      </c>
      <c r="AJ448" s="186">
        <v>-1500000</v>
      </c>
      <c r="AK448" s="147">
        <v>42</v>
      </c>
      <c r="AL448" s="147">
        <f t="shared" si="102"/>
        <v>191</v>
      </c>
      <c r="AM448" s="147">
        <f t="shared" si="103"/>
        <v>-286500000</v>
      </c>
      <c r="AN448" s="147"/>
    </row>
    <row r="449" spans="17:44">
      <c r="Q449" s="97" t="s">
        <v>5692</v>
      </c>
      <c r="R449" s="93">
        <v>6460549.4269619994</v>
      </c>
      <c r="T449" s="19" t="s">
        <v>5835</v>
      </c>
      <c r="U449" s="19">
        <v>75</v>
      </c>
      <c r="V449" s="115">
        <v>1950.3675760000001</v>
      </c>
      <c r="W449" s="115">
        <f t="shared" si="89"/>
        <v>146277.56820000001</v>
      </c>
      <c r="X449" s="273" t="s">
        <v>5127</v>
      </c>
      <c r="AH449" s="20">
        <v>169</v>
      </c>
      <c r="AI449" s="20" t="s">
        <v>5719</v>
      </c>
      <c r="AJ449" s="115">
        <v>260000</v>
      </c>
      <c r="AK449" s="20">
        <v>22</v>
      </c>
      <c r="AL449" s="20">
        <f t="shared" si="102"/>
        <v>149</v>
      </c>
      <c r="AM449" s="20">
        <f t="shared" si="103"/>
        <v>38740000</v>
      </c>
      <c r="AN449" s="20"/>
      <c r="AR449" t="s">
        <v>25</v>
      </c>
    </row>
    <row r="450" spans="17:44">
      <c r="Q450" s="97" t="s">
        <v>5695</v>
      </c>
      <c r="R450" s="93">
        <v>5212319.8968359996</v>
      </c>
      <c r="T450" s="19" t="s">
        <v>5850</v>
      </c>
      <c r="U450" s="19">
        <v>232</v>
      </c>
      <c r="V450" s="115">
        <v>1830.5750069999999</v>
      </c>
      <c r="W450" s="115">
        <f t="shared" si="89"/>
        <v>424693.40162399999</v>
      </c>
      <c r="X450" s="273" t="s">
        <v>5127</v>
      </c>
      <c r="Y450" t="s">
        <v>25</v>
      </c>
      <c r="AH450" s="20">
        <v>170</v>
      </c>
      <c r="AI450" s="20" t="s">
        <v>5751</v>
      </c>
      <c r="AJ450" s="115">
        <v>20000</v>
      </c>
      <c r="AK450" s="20">
        <v>0</v>
      </c>
      <c r="AL450" s="20">
        <f t="shared" si="102"/>
        <v>127</v>
      </c>
      <c r="AM450" s="20">
        <f t="shared" si="103"/>
        <v>2540000</v>
      </c>
      <c r="AN450" s="20"/>
    </row>
    <row r="451" spans="17:44">
      <c r="Q451" s="97" t="s">
        <v>5697</v>
      </c>
      <c r="R451" s="93">
        <v>4524496.4792809999</v>
      </c>
      <c r="T451" s="19" t="s">
        <v>5853</v>
      </c>
      <c r="U451" s="19">
        <v>308</v>
      </c>
      <c r="V451" s="115">
        <v>1812.728578</v>
      </c>
      <c r="W451" s="115">
        <f t="shared" si="89"/>
        <v>558320.40202399995</v>
      </c>
      <c r="X451" s="273" t="s">
        <v>5127</v>
      </c>
      <c r="Y451" t="s">
        <v>25</v>
      </c>
      <c r="AF451" s="94" t="s">
        <v>25</v>
      </c>
      <c r="AH451" s="193">
        <v>171</v>
      </c>
      <c r="AI451" s="193" t="s">
        <v>5751</v>
      </c>
      <c r="AJ451" s="194">
        <v>20000</v>
      </c>
      <c r="AK451" s="193">
        <v>7</v>
      </c>
      <c r="AL451" s="147">
        <f t="shared" ref="AL451:AL468" si="104">AK451+AL452</f>
        <v>127</v>
      </c>
      <c r="AM451" s="147">
        <f t="shared" ref="AM451:AM468" si="105">AJ451*AL451</f>
        <v>2540000</v>
      </c>
      <c r="AN451" s="193"/>
    </row>
    <row r="452" spans="17:44">
      <c r="Q452" s="97" t="s">
        <v>5699</v>
      </c>
      <c r="R452" s="93">
        <v>22866040.240959998</v>
      </c>
      <c r="T452" s="19" t="s">
        <v>5855</v>
      </c>
      <c r="U452" s="19">
        <v>106</v>
      </c>
      <c r="V452" s="115">
        <v>1958.8888869</v>
      </c>
      <c r="W452" s="115">
        <f t="shared" si="89"/>
        <v>207642.22201140001</v>
      </c>
      <c r="X452" s="273" t="s">
        <v>5127</v>
      </c>
      <c r="AA452" t="s">
        <v>25</v>
      </c>
      <c r="AH452" s="147">
        <v>172</v>
      </c>
      <c r="AI452" s="147" t="s">
        <v>5761</v>
      </c>
      <c r="AJ452" s="186">
        <v>70000</v>
      </c>
      <c r="AK452" s="147">
        <v>0</v>
      </c>
      <c r="AL452" s="147">
        <f t="shared" si="104"/>
        <v>120</v>
      </c>
      <c r="AM452" s="147">
        <f t="shared" si="105"/>
        <v>8400000</v>
      </c>
      <c r="AN452" s="147"/>
    </row>
    <row r="453" spans="17:44">
      <c r="Q453" s="97" t="s">
        <v>5701</v>
      </c>
      <c r="R453" s="93">
        <v>15359304.269892</v>
      </c>
      <c r="T453" s="19" t="s">
        <v>5880</v>
      </c>
      <c r="U453" s="19">
        <v>17050</v>
      </c>
      <c r="V453" s="115">
        <v>1984.311475</v>
      </c>
      <c r="W453" s="115">
        <f t="shared" si="89"/>
        <v>33832510.64875</v>
      </c>
      <c r="X453" s="273" t="s">
        <v>5883</v>
      </c>
      <c r="Y453" t="s">
        <v>25</v>
      </c>
      <c r="AH453" s="20">
        <v>173</v>
      </c>
      <c r="AI453" s="20" t="s">
        <v>5761</v>
      </c>
      <c r="AJ453" s="115">
        <v>70000</v>
      </c>
      <c r="AK453" s="20">
        <v>1</v>
      </c>
      <c r="AL453" s="20">
        <f t="shared" si="104"/>
        <v>120</v>
      </c>
      <c r="AM453" s="20">
        <f t="shared" si="105"/>
        <v>8400000</v>
      </c>
      <c r="AN453" s="20"/>
    </row>
    <row r="454" spans="17:44">
      <c r="Q454" s="97" t="s">
        <v>5702</v>
      </c>
      <c r="R454" s="93">
        <v>2868508.1846330003</v>
      </c>
      <c r="T454" s="19" t="s">
        <v>5880</v>
      </c>
      <c r="U454" s="19">
        <v>17050</v>
      </c>
      <c r="V454" s="115">
        <v>1984.311475</v>
      </c>
      <c r="W454" s="115">
        <f t="shared" si="89"/>
        <v>33832510.64875</v>
      </c>
      <c r="X454" s="273" t="s">
        <v>5884</v>
      </c>
      <c r="Y454" t="s">
        <v>25</v>
      </c>
      <c r="AH454" s="20">
        <v>174</v>
      </c>
      <c r="AI454" s="20" t="s">
        <v>5768</v>
      </c>
      <c r="AJ454" s="115">
        <v>330000</v>
      </c>
      <c r="AK454" s="20">
        <v>0</v>
      </c>
      <c r="AL454" s="20">
        <f t="shared" si="104"/>
        <v>119</v>
      </c>
      <c r="AM454" s="20">
        <f t="shared" si="105"/>
        <v>39270000</v>
      </c>
      <c r="AN454" s="20"/>
    </row>
    <row r="455" spans="17:44">
      <c r="Q455" s="97" t="s">
        <v>5703</v>
      </c>
      <c r="R455" s="93">
        <v>17450393.011856001</v>
      </c>
      <c r="T455" s="19" t="s">
        <v>5886</v>
      </c>
      <c r="U455" s="19">
        <v>9659</v>
      </c>
      <c r="V455" s="115">
        <v>2073.8685089999999</v>
      </c>
      <c r="W455" s="115">
        <f t="shared" si="89"/>
        <v>20031495.928431001</v>
      </c>
      <c r="X455" s="273" t="s">
        <v>5887</v>
      </c>
      <c r="Y455" t="s">
        <v>25</v>
      </c>
      <c r="AH455" s="147">
        <v>175</v>
      </c>
      <c r="AI455" s="147" t="s">
        <v>5768</v>
      </c>
      <c r="AJ455" s="186">
        <v>330000</v>
      </c>
      <c r="AK455" s="147">
        <v>10</v>
      </c>
      <c r="AL455" s="147">
        <f t="shared" ref="AL455:AL467" si="106">AK455+AL456</f>
        <v>119</v>
      </c>
      <c r="AM455" s="147">
        <f t="shared" ref="AM455:AM467" si="107">AJ455*AL455</f>
        <v>39270000</v>
      </c>
      <c r="AN455" s="147"/>
    </row>
    <row r="456" spans="17:44">
      <c r="Q456" s="97" t="s">
        <v>5704</v>
      </c>
      <c r="R456" s="93">
        <v>31388943.254850004</v>
      </c>
      <c r="T456" s="19" t="s">
        <v>5896</v>
      </c>
      <c r="U456" s="19">
        <v>323</v>
      </c>
      <c r="V456" s="115">
        <v>1975.162028</v>
      </c>
      <c r="W456" s="115">
        <f t="shared" si="89"/>
        <v>637977.33504399995</v>
      </c>
      <c r="X456" s="273" t="s">
        <v>5127</v>
      </c>
      <c r="AH456" s="147">
        <v>176</v>
      </c>
      <c r="AI456" s="147" t="s">
        <v>5781</v>
      </c>
      <c r="AJ456" s="186">
        <v>90000000</v>
      </c>
      <c r="AK456" s="147">
        <v>16</v>
      </c>
      <c r="AL456" s="147">
        <f t="shared" si="106"/>
        <v>109</v>
      </c>
      <c r="AM456" s="147">
        <f t="shared" si="107"/>
        <v>9810000000</v>
      </c>
      <c r="AN456" s="147"/>
    </row>
    <row r="457" spans="17:44">
      <c r="Q457" s="97" t="s">
        <v>5706</v>
      </c>
      <c r="R457" s="93">
        <v>30912095.373174001</v>
      </c>
      <c r="T457" s="19" t="s">
        <v>5897</v>
      </c>
      <c r="U457" s="19">
        <v>238</v>
      </c>
      <c r="V457" s="115">
        <v>1960.303598</v>
      </c>
      <c r="W457" s="115">
        <f t="shared" si="89"/>
        <v>466552.25632400002</v>
      </c>
      <c r="X457" s="273" t="s">
        <v>5127</v>
      </c>
      <c r="Z457" t="s">
        <v>25</v>
      </c>
      <c r="AH457" s="147">
        <v>177</v>
      </c>
      <c r="AI457" s="147" t="s">
        <v>5810</v>
      </c>
      <c r="AJ457" s="186">
        <v>-15000000</v>
      </c>
      <c r="AK457" s="147">
        <v>65</v>
      </c>
      <c r="AL457" s="147">
        <f t="shared" si="106"/>
        <v>93</v>
      </c>
      <c r="AM457" s="147">
        <f t="shared" si="107"/>
        <v>-1395000000</v>
      </c>
      <c r="AN457" s="147" t="s">
        <v>5811</v>
      </c>
    </row>
    <row r="458" spans="17:44">
      <c r="Q458" s="97" t="s">
        <v>5710</v>
      </c>
      <c r="R458" s="93">
        <v>19602926.115093999</v>
      </c>
      <c r="T458" s="19" t="s">
        <v>5899</v>
      </c>
      <c r="U458" s="19">
        <v>75</v>
      </c>
      <c r="V458" s="115">
        <v>1990.893174</v>
      </c>
      <c r="W458" s="115">
        <f t="shared" si="89"/>
        <v>149316.98805000001</v>
      </c>
      <c r="X458" s="273" t="s">
        <v>5900</v>
      </c>
      <c r="Z458" t="s">
        <v>25</v>
      </c>
      <c r="AH458" s="147">
        <v>178</v>
      </c>
      <c r="AI458" s="147" t="s">
        <v>5880</v>
      </c>
      <c r="AJ458" s="186">
        <v>33833075</v>
      </c>
      <c r="AK458" s="147">
        <v>0</v>
      </c>
      <c r="AL458" s="147">
        <f t="shared" si="106"/>
        <v>28</v>
      </c>
      <c r="AM458" s="147">
        <f t="shared" si="107"/>
        <v>947326100</v>
      </c>
      <c r="AN458" s="147" t="s">
        <v>5885</v>
      </c>
    </row>
    <row r="459" spans="17:44">
      <c r="Q459" s="97" t="s">
        <v>5713</v>
      </c>
      <c r="R459" s="93">
        <v>34458590.308710001</v>
      </c>
      <c r="T459" s="19" t="s">
        <v>5899</v>
      </c>
      <c r="U459" s="19">
        <v>95</v>
      </c>
      <c r="V459" s="115">
        <v>1990.893174</v>
      </c>
      <c r="W459" s="115">
        <f t="shared" si="89"/>
        <v>189134.85153000001</v>
      </c>
      <c r="X459" s="273" t="s">
        <v>5127</v>
      </c>
      <c r="Z459" t="s">
        <v>25</v>
      </c>
      <c r="AH459" s="20">
        <v>197</v>
      </c>
      <c r="AI459" s="20" t="s">
        <v>5880</v>
      </c>
      <c r="AJ459" s="115">
        <v>20033075</v>
      </c>
      <c r="AK459" s="20">
        <v>28</v>
      </c>
      <c r="AL459" s="20">
        <f t="shared" si="106"/>
        <v>28</v>
      </c>
      <c r="AM459" s="20">
        <f t="shared" si="107"/>
        <v>560926100</v>
      </c>
      <c r="AN459" s="20" t="s">
        <v>5885</v>
      </c>
    </row>
    <row r="460" spans="17:44">
      <c r="Q460" s="97" t="s">
        <v>5715</v>
      </c>
      <c r="R460" s="93">
        <v>21697868.203256</v>
      </c>
      <c r="T460" s="19" t="s">
        <v>5906</v>
      </c>
      <c r="U460" s="19">
        <v>284</v>
      </c>
      <c r="V460" s="115">
        <v>1989.045169</v>
      </c>
      <c r="W460" s="115">
        <f t="shared" si="89"/>
        <v>564888.82799599995</v>
      </c>
      <c r="X460" s="273" t="s">
        <v>5127</v>
      </c>
      <c r="Z460" t="s">
        <v>25</v>
      </c>
      <c r="AH460" s="147">
        <v>198</v>
      </c>
      <c r="AI460" s="147" t="s">
        <v>5928</v>
      </c>
      <c r="AJ460" s="186">
        <v>-22520813.151772</v>
      </c>
      <c r="AK460" s="147">
        <v>0</v>
      </c>
      <c r="AL460" s="147">
        <f>AK460+AL467</f>
        <v>0</v>
      </c>
      <c r="AM460" s="147">
        <f t="shared" si="107"/>
        <v>0</v>
      </c>
      <c r="AN460" s="147" t="s">
        <v>5940</v>
      </c>
    </row>
    <row r="461" spans="17:44" ht="30">
      <c r="Q461" s="97" t="s">
        <v>5716</v>
      </c>
      <c r="R461" s="93">
        <v>25340079.252110001</v>
      </c>
      <c r="T461" s="187" t="s">
        <v>5928</v>
      </c>
      <c r="U461" s="187">
        <v>11034</v>
      </c>
      <c r="V461" s="186">
        <v>1960.6845390000001</v>
      </c>
      <c r="W461" s="186">
        <f t="shared" si="89"/>
        <v>21634193.203326002</v>
      </c>
      <c r="X461" s="272" t="s">
        <v>5936</v>
      </c>
      <c r="Z461" t="s">
        <v>25</v>
      </c>
      <c r="AH461" s="20">
        <v>199</v>
      </c>
      <c r="AI461" s="20" t="s">
        <v>5928</v>
      </c>
      <c r="AJ461" s="115">
        <v>-204353015</v>
      </c>
      <c r="AK461" s="20">
        <v>0</v>
      </c>
      <c r="AL461" s="20"/>
      <c r="AM461" s="20"/>
      <c r="AN461" s="20" t="s">
        <v>5941</v>
      </c>
    </row>
    <row r="462" spans="17:44" ht="30">
      <c r="Q462" s="97" t="s">
        <v>5719</v>
      </c>
      <c r="R462" s="93">
        <v>14780983.183526</v>
      </c>
      <c r="T462" s="19" t="s">
        <v>5928</v>
      </c>
      <c r="U462" s="19">
        <v>4469</v>
      </c>
      <c r="V462" s="115">
        <v>1960.6845390000001</v>
      </c>
      <c r="W462" s="115">
        <f t="shared" si="89"/>
        <v>8762299.2047910001</v>
      </c>
      <c r="X462" s="273" t="s">
        <v>5937</v>
      </c>
      <c r="Z462" t="s">
        <v>25</v>
      </c>
      <c r="AH462" s="20">
        <v>200</v>
      </c>
      <c r="AI462" s="20" t="s">
        <v>5928</v>
      </c>
      <c r="AJ462" s="115">
        <v>50000000</v>
      </c>
      <c r="AK462" s="20">
        <v>1</v>
      </c>
      <c r="AL462" s="20"/>
      <c r="AM462" s="20"/>
      <c r="AN462" s="20" t="s">
        <v>5942</v>
      </c>
    </row>
    <row r="463" spans="17:44">
      <c r="Q463" s="97" t="s">
        <v>5719</v>
      </c>
      <c r="R463" s="93">
        <v>17804396.448481999</v>
      </c>
      <c r="T463" s="19" t="s">
        <v>5928</v>
      </c>
      <c r="U463" s="19">
        <v>-174834</v>
      </c>
      <c r="V463" s="115">
        <v>1955.271154</v>
      </c>
      <c r="W463" s="115">
        <f t="shared" si="89"/>
        <v>-341847876.93843603</v>
      </c>
      <c r="X463" s="273" t="s">
        <v>5938</v>
      </c>
      <c r="AH463" s="20">
        <v>201</v>
      </c>
      <c r="AI463" s="20" t="s">
        <v>5948</v>
      </c>
      <c r="AJ463" s="115">
        <v>50000000</v>
      </c>
      <c r="AK463" s="20">
        <v>8</v>
      </c>
      <c r="AL463" s="20"/>
      <c r="AM463" s="20"/>
      <c r="AN463" s="20" t="s">
        <v>5942</v>
      </c>
    </row>
    <row r="464" spans="17:44">
      <c r="Q464" s="97" t="s">
        <v>5723</v>
      </c>
      <c r="R464" s="93">
        <v>260260000</v>
      </c>
      <c r="T464" s="19" t="s">
        <v>5928</v>
      </c>
      <c r="U464" s="19">
        <v>-78942</v>
      </c>
      <c r="V464" s="115">
        <v>1955.271154</v>
      </c>
      <c r="W464" s="115">
        <f t="shared" si="89"/>
        <v>-154353015.43906799</v>
      </c>
      <c r="X464" s="273" t="s">
        <v>5939</v>
      </c>
      <c r="Z464" t="s">
        <v>25</v>
      </c>
      <c r="AA464" t="s">
        <v>25</v>
      </c>
      <c r="AH464" s="20">
        <v>202</v>
      </c>
      <c r="AI464" s="20" t="s">
        <v>6508</v>
      </c>
      <c r="AJ464" s="115">
        <v>30000000</v>
      </c>
      <c r="AK464" s="20">
        <v>1</v>
      </c>
      <c r="AL464" s="20"/>
      <c r="AM464" s="20"/>
      <c r="AN464" s="20" t="s">
        <v>6510</v>
      </c>
      <c r="AR464" t="s">
        <v>25</v>
      </c>
    </row>
    <row r="465" spans="17:40">
      <c r="Q465" s="97" t="s">
        <v>5724</v>
      </c>
      <c r="R465" s="93">
        <v>11538335.631417999</v>
      </c>
      <c r="T465" s="187" t="s">
        <v>5928</v>
      </c>
      <c r="U465" s="187">
        <v>-11518</v>
      </c>
      <c r="V465" s="186">
        <v>1955.271154</v>
      </c>
      <c r="W465" s="186">
        <f t="shared" si="89"/>
        <v>-22520813.151772</v>
      </c>
      <c r="X465" s="272" t="s">
        <v>5940</v>
      </c>
      <c r="AH465" s="20"/>
      <c r="AI465" s="20"/>
      <c r="AJ465" s="115"/>
      <c r="AK465" s="20"/>
      <c r="AL465" s="20"/>
      <c r="AM465" s="20"/>
      <c r="AN465" s="20"/>
    </row>
    <row r="466" spans="17:40">
      <c r="Q466" s="97" t="s">
        <v>5734</v>
      </c>
      <c r="R466" s="93">
        <v>12429517.767776001</v>
      </c>
      <c r="T466" s="19" t="s">
        <v>5952</v>
      </c>
      <c r="U466" s="19">
        <v>8622</v>
      </c>
      <c r="V466" s="115">
        <v>1930.4022150000001</v>
      </c>
      <c r="W466" s="115">
        <f t="shared" si="89"/>
        <v>16643927.89773</v>
      </c>
      <c r="X466" s="273" t="s">
        <v>744</v>
      </c>
      <c r="Z466" t="s">
        <v>25</v>
      </c>
      <c r="AH466" s="20"/>
      <c r="AI466" s="20"/>
      <c r="AJ466" s="115"/>
      <c r="AK466" s="20"/>
      <c r="AL466" s="20"/>
      <c r="AM466" s="20"/>
      <c r="AN466" s="20"/>
    </row>
    <row r="467" spans="17:40">
      <c r="Q467" s="97" t="s">
        <v>5736</v>
      </c>
      <c r="R467" s="93">
        <v>5031176.5087869996</v>
      </c>
      <c r="T467" s="19" t="s">
        <v>5953</v>
      </c>
      <c r="U467" s="19">
        <v>17384</v>
      </c>
      <c r="V467" s="115">
        <v>1918.745255</v>
      </c>
      <c r="W467" s="115">
        <f t="shared" si="89"/>
        <v>33355467.51292</v>
      </c>
      <c r="X467" s="273" t="s">
        <v>744</v>
      </c>
      <c r="Y467" t="s">
        <v>25</v>
      </c>
      <c r="Z467" t="s">
        <v>25</v>
      </c>
      <c r="AA467" t="s">
        <v>25</v>
      </c>
      <c r="AH467" s="97"/>
      <c r="AI467" s="97"/>
      <c r="AJ467" s="115"/>
      <c r="AK467" s="97"/>
      <c r="AL467" s="20">
        <f t="shared" si="106"/>
        <v>0</v>
      </c>
      <c r="AM467" s="20">
        <f t="shared" si="107"/>
        <v>0</v>
      </c>
      <c r="AN467" s="20"/>
    </row>
    <row r="468" spans="17:40">
      <c r="Q468" s="97" t="s">
        <v>5740</v>
      </c>
      <c r="R468" s="93">
        <v>6822803.9080700008</v>
      </c>
      <c r="T468" s="19" t="s">
        <v>5966</v>
      </c>
      <c r="U468" s="19">
        <v>133</v>
      </c>
      <c r="V468" s="115">
        <v>1954.8389770000001</v>
      </c>
      <c r="W468" s="115">
        <f t="shared" si="89"/>
        <v>259993.58394100002</v>
      </c>
      <c r="X468" s="273" t="s">
        <v>5127</v>
      </c>
      <c r="AH468" s="97"/>
      <c r="AI468" s="97"/>
      <c r="AJ468" s="115"/>
      <c r="AK468" s="97"/>
      <c r="AL468" s="20">
        <f t="shared" si="104"/>
        <v>0</v>
      </c>
      <c r="AM468" s="20">
        <f t="shared" si="105"/>
        <v>0</v>
      </c>
      <c r="AN468" s="97"/>
    </row>
    <row r="469" spans="17:40">
      <c r="Q469" s="97" t="s">
        <v>5750</v>
      </c>
      <c r="R469" s="93">
        <v>330889.73324399994</v>
      </c>
      <c r="T469" s="19" t="s">
        <v>5972</v>
      </c>
      <c r="U469" s="19">
        <v>140</v>
      </c>
      <c r="V469" s="115">
        <v>1928.2522289999999</v>
      </c>
      <c r="W469" s="115">
        <f t="shared" si="89"/>
        <v>269955.31205999997</v>
      </c>
      <c r="X469" s="273" t="s">
        <v>5127</v>
      </c>
      <c r="AA469" t="s">
        <v>25</v>
      </c>
      <c r="AH469" s="97"/>
      <c r="AI469" s="97"/>
      <c r="AJ469" s="93">
        <f>SUM(AJ281:AJ468)</f>
        <v>199792676.84822798</v>
      </c>
      <c r="AK469" s="97"/>
      <c r="AL469" s="97"/>
      <c r="AM469" s="97">
        <f>SUM(AM281:AM468)</f>
        <v>229679685584</v>
      </c>
      <c r="AN469" s="93">
        <f>AM469*AN267/31</f>
        <v>123486171.60092026</v>
      </c>
    </row>
    <row r="470" spans="17:40">
      <c r="Q470" s="97" t="s">
        <v>5751</v>
      </c>
      <c r="R470" s="93">
        <v>6610318.1610199995</v>
      </c>
      <c r="T470" s="19"/>
      <c r="U470" s="19"/>
      <c r="V470" s="115"/>
      <c r="W470" s="115"/>
      <c r="X470" s="273"/>
      <c r="Z470" t="s">
        <v>25</v>
      </c>
      <c r="AJ470" t="s">
        <v>4043</v>
      </c>
      <c r="AM470" t="s">
        <v>284</v>
      </c>
      <c r="AN470" t="s">
        <v>928</v>
      </c>
    </row>
    <row r="471" spans="17:40">
      <c r="Q471" s="97" t="s">
        <v>5753</v>
      </c>
      <c r="R471" s="93">
        <v>710713.17725199996</v>
      </c>
      <c r="T471" s="19"/>
      <c r="U471" s="19"/>
      <c r="V471" s="115"/>
      <c r="W471" s="115"/>
      <c r="X471" s="273"/>
    </row>
    <row r="472" spans="17:40">
      <c r="Q472" s="97" t="s">
        <v>5756</v>
      </c>
      <c r="R472" s="93">
        <v>81025</v>
      </c>
      <c r="T472" s="19"/>
      <c r="U472" s="19"/>
      <c r="V472" s="115"/>
      <c r="W472" s="115"/>
      <c r="X472" s="273"/>
      <c r="Y472" t="s">
        <v>25</v>
      </c>
      <c r="AI472" t="s">
        <v>4045</v>
      </c>
      <c r="AJ472" s="112">
        <f>AJ469+AN469</f>
        <v>323278848.44914824</v>
      </c>
      <c r="AM472" t="s">
        <v>25</v>
      </c>
    </row>
    <row r="473" spans="17:40">
      <c r="Q473" s="97" t="s">
        <v>5757</v>
      </c>
      <c r="R473" s="93">
        <v>219696.613128</v>
      </c>
      <c r="T473" s="19"/>
      <c r="U473" s="19"/>
      <c r="V473" s="115"/>
      <c r="W473" s="115"/>
      <c r="X473" s="273"/>
      <c r="Y473" t="s">
        <v>25</v>
      </c>
      <c r="AI473" t="s">
        <v>4048</v>
      </c>
      <c r="AJ473" s="112">
        <f>SUM(N20:N30)</f>
        <v>3207297404</v>
      </c>
    </row>
    <row r="474" spans="17:40">
      <c r="Q474" s="97" t="s">
        <v>5759</v>
      </c>
      <c r="R474" s="93">
        <v>6035472.4070199998</v>
      </c>
      <c r="T474" s="19"/>
      <c r="U474" s="19"/>
      <c r="V474" s="115"/>
      <c r="W474" s="115"/>
      <c r="X474" s="273"/>
      <c r="AI474" t="s">
        <v>4118</v>
      </c>
      <c r="AJ474" s="112">
        <f>AJ473-AJ469</f>
        <v>3007504727.151772</v>
      </c>
    </row>
    <row r="475" spans="17:40">
      <c r="Q475" s="97" t="s">
        <v>5761</v>
      </c>
      <c r="R475" s="93">
        <v>984486.34963200008</v>
      </c>
      <c r="T475" s="19"/>
      <c r="U475" s="19"/>
      <c r="V475" s="115"/>
      <c r="W475" s="115">
        <f t="shared" si="89"/>
        <v>0</v>
      </c>
      <c r="X475" s="273"/>
      <c r="Z475" t="s">
        <v>25</v>
      </c>
      <c r="AA475" t="s">
        <v>25</v>
      </c>
      <c r="AI475" t="s">
        <v>928</v>
      </c>
      <c r="AJ475" s="112">
        <f>AN469</f>
        <v>123486171.60092026</v>
      </c>
    </row>
    <row r="476" spans="17:40">
      <c r="Q476" s="97" t="s">
        <v>5774</v>
      </c>
      <c r="R476" s="93">
        <v>2143469.938015</v>
      </c>
      <c r="T476" s="19"/>
      <c r="U476" s="19"/>
      <c r="V476" s="115"/>
      <c r="W476" s="115">
        <f t="shared" si="89"/>
        <v>0</v>
      </c>
      <c r="X476" s="273"/>
      <c r="AI476" t="s">
        <v>4049</v>
      </c>
      <c r="AJ476" s="112">
        <f>AJ474-AJ475</f>
        <v>2884018555.5508518</v>
      </c>
      <c r="AM476" t="s">
        <v>25</v>
      </c>
      <c r="AN476" t="s">
        <v>25</v>
      </c>
    </row>
    <row r="477" spans="17:40">
      <c r="Q477" s="97" t="s">
        <v>5776</v>
      </c>
      <c r="R477" s="93">
        <v>3085460.5177150001</v>
      </c>
      <c r="T477" s="97"/>
      <c r="U477" s="166"/>
      <c r="V477" s="111"/>
      <c r="W477" s="115">
        <f t="shared" si="89"/>
        <v>0</v>
      </c>
      <c r="X477" s="97"/>
      <c r="Z477" t="s">
        <v>25</v>
      </c>
      <c r="AA477" t="s">
        <v>25</v>
      </c>
      <c r="AL477" t="s">
        <v>25</v>
      </c>
      <c r="AM477" t="s">
        <v>25</v>
      </c>
      <c r="AN477" t="s">
        <v>25</v>
      </c>
    </row>
    <row r="478" spans="17:40">
      <c r="Q478" s="97" t="s">
        <v>5778</v>
      </c>
      <c r="R478" s="93">
        <v>8261456.790906</v>
      </c>
      <c r="T478" s="166"/>
      <c r="U478" s="166">
        <f>SUM(U167:U477)</f>
        <v>4254301</v>
      </c>
      <c r="V478" s="97"/>
      <c r="W478" s="97"/>
      <c r="X478" s="97"/>
    </row>
    <row r="479" spans="17:40">
      <c r="Q479" s="97" t="s">
        <v>5783</v>
      </c>
      <c r="R479" s="93">
        <v>6572373.7593120001</v>
      </c>
      <c r="T479" s="97"/>
      <c r="U479" s="97" t="s">
        <v>6</v>
      </c>
      <c r="V479" s="97"/>
      <c r="W479" s="97"/>
      <c r="X479" s="97"/>
      <c r="Y479" t="s">
        <v>25</v>
      </c>
    </row>
    <row r="480" spans="17:40">
      <c r="Q480" s="97" t="s">
        <v>5785</v>
      </c>
      <c r="R480" s="93">
        <v>2893243.5730909999</v>
      </c>
      <c r="T480" s="198" t="s">
        <v>4438</v>
      </c>
      <c r="Y480" t="s">
        <v>25</v>
      </c>
      <c r="AN480" t="s">
        <v>25</v>
      </c>
    </row>
    <row r="481" spans="17:40">
      <c r="Q481" s="97" t="s">
        <v>5792</v>
      </c>
      <c r="R481" s="93">
        <v>94992058.939007998</v>
      </c>
      <c r="T481" s="197">
        <f>R184/U478</f>
        <v>1900.6969384629813</v>
      </c>
      <c r="X481" t="s">
        <v>25</v>
      </c>
      <c r="AN481" t="s">
        <v>25</v>
      </c>
    </row>
    <row r="482" spans="17:40">
      <c r="Q482" s="97" t="s">
        <v>5800</v>
      </c>
      <c r="R482" s="93">
        <v>275021.925965</v>
      </c>
      <c r="W482" s="112"/>
      <c r="X482" t="s">
        <v>25</v>
      </c>
    </row>
    <row r="483" spans="17:40">
      <c r="Q483" s="97" t="s">
        <v>5812</v>
      </c>
      <c r="R483" s="93">
        <v>327451.9203</v>
      </c>
      <c r="U483" s="94" t="s">
        <v>267</v>
      </c>
      <c r="V483" t="s">
        <v>4439</v>
      </c>
      <c r="X483" t="s">
        <v>25</v>
      </c>
      <c r="Y483" t="s">
        <v>25</v>
      </c>
    </row>
    <row r="484" spans="17:40">
      <c r="Q484" s="97" t="s">
        <v>5823</v>
      </c>
      <c r="R484" s="93">
        <v>260081.94096800001</v>
      </c>
      <c r="T484" s="112"/>
      <c r="U484" s="93">
        <v>-270554</v>
      </c>
      <c r="V484">
        <f>U484/T481</f>
        <v>-142.34462871223772</v>
      </c>
      <c r="X484" t="s">
        <v>25</v>
      </c>
      <c r="AA484" t="s">
        <v>25</v>
      </c>
    </row>
    <row r="485" spans="17:40">
      <c r="Q485" s="97" t="s">
        <v>5824</v>
      </c>
      <c r="R485" s="93">
        <v>2909284.5308940001</v>
      </c>
      <c r="T485" t="s">
        <v>25</v>
      </c>
      <c r="X485" t="s">
        <v>25</v>
      </c>
      <c r="Y485" t="s">
        <v>25</v>
      </c>
      <c r="Z485" t="s">
        <v>25</v>
      </c>
    </row>
    <row r="486" spans="17:40">
      <c r="Q486" s="97" t="s">
        <v>5825</v>
      </c>
      <c r="R486" s="93">
        <v>37723205.094084002</v>
      </c>
      <c r="T486" t="s">
        <v>25</v>
      </c>
      <c r="U486" s="94" t="s">
        <v>25</v>
      </c>
      <c r="V486" s="22"/>
      <c r="W486" s="218"/>
      <c r="X486" s="282" t="s">
        <v>25</v>
      </c>
      <c r="AA486" t="s">
        <v>25</v>
      </c>
    </row>
    <row r="487" spans="17:40">
      <c r="Q487" s="97" t="s">
        <v>5826</v>
      </c>
      <c r="R487" s="93">
        <v>1500094.75168</v>
      </c>
      <c r="V487" t="s">
        <v>25</v>
      </c>
      <c r="X487" t="s">
        <v>25</v>
      </c>
      <c r="Y487" t="s">
        <v>25</v>
      </c>
    </row>
    <row r="488" spans="17:40">
      <c r="Q488" s="97" t="s">
        <v>5828</v>
      </c>
      <c r="R488" s="93">
        <v>7230628.4378079996</v>
      </c>
      <c r="W488" s="112"/>
      <c r="X488" t="s">
        <v>25</v>
      </c>
    </row>
    <row r="489" spans="17:40" ht="60">
      <c r="Q489" s="97" t="s">
        <v>5829</v>
      </c>
      <c r="R489" s="93">
        <v>29767389.390390001</v>
      </c>
      <c r="T489" s="22" t="s">
        <v>4424</v>
      </c>
      <c r="V489" s="218"/>
    </row>
    <row r="490" spans="17:40" ht="45">
      <c r="Q490" s="97" t="s">
        <v>5831</v>
      </c>
      <c r="R490" s="93">
        <v>151560.25597</v>
      </c>
      <c r="T490" s="22" t="s">
        <v>4425</v>
      </c>
      <c r="W490" s="282"/>
    </row>
    <row r="491" spans="17:40">
      <c r="Q491" s="97" t="s">
        <v>5835</v>
      </c>
      <c r="R491" s="93">
        <v>481318.88078800001</v>
      </c>
      <c r="Y491" t="s">
        <v>25</v>
      </c>
    </row>
    <row r="492" spans="17:40">
      <c r="Q492" s="97" t="s">
        <v>5850</v>
      </c>
      <c r="R492" s="93">
        <v>146277.56820000001</v>
      </c>
    </row>
    <row r="493" spans="17:40">
      <c r="Q493" s="97" t="s">
        <v>5853</v>
      </c>
      <c r="R493" s="93">
        <v>424693.40162399999</v>
      </c>
      <c r="T493" s="97" t="s">
        <v>4440</v>
      </c>
      <c r="U493" s="97" t="s">
        <v>4419</v>
      </c>
      <c r="V493" s="97" t="s">
        <v>938</v>
      </c>
      <c r="W493" s="72" t="s">
        <v>5574</v>
      </c>
    </row>
    <row r="494" spans="17:40">
      <c r="Q494" s="97" t="s">
        <v>5855</v>
      </c>
      <c r="R494" s="93">
        <v>558320.40202399995</v>
      </c>
      <c r="T494" s="93">
        <f>S231+R296+R514</f>
        <v>2362670370.9138083</v>
      </c>
      <c r="U494" s="93">
        <f>R184</f>
        <v>8086136886</v>
      </c>
      <c r="V494" s="93">
        <f>U494-T494</f>
        <v>5723466515.0861912</v>
      </c>
    </row>
    <row r="495" spans="17:40">
      <c r="Q495" s="97" t="s">
        <v>5880</v>
      </c>
      <c r="R495" s="93">
        <v>207642.22201140001</v>
      </c>
      <c r="W495" s="94" t="s">
        <v>25</v>
      </c>
    </row>
    <row r="496" spans="17:40">
      <c r="Q496" s="97" t="s">
        <v>5880</v>
      </c>
      <c r="R496" s="93">
        <v>33832510.64875</v>
      </c>
    </row>
    <row r="497" spans="17:24">
      <c r="Q497" s="97" t="s">
        <v>5896</v>
      </c>
      <c r="R497" s="93">
        <v>637977.33504399995</v>
      </c>
      <c r="T497" s="115"/>
      <c r="V497" s="112">
        <f>(444000000+2500000)*2/3</f>
        <v>297666666.66666669</v>
      </c>
    </row>
    <row r="498" spans="17:24">
      <c r="Q498" s="97" t="s">
        <v>5897</v>
      </c>
      <c r="R498" s="93">
        <v>466552.25632400002</v>
      </c>
    </row>
    <row r="499" spans="17:24">
      <c r="Q499" s="97" t="s">
        <v>5899</v>
      </c>
      <c r="R499" s="93">
        <v>149316.98805000001</v>
      </c>
      <c r="T499" s="112">
        <f>W313+W314+W316+W317+W319+W320</f>
        <v>-301699041.74755996</v>
      </c>
    </row>
    <row r="500" spans="17:24">
      <c r="Q500" s="97" t="s">
        <v>5899</v>
      </c>
      <c r="R500" s="93">
        <v>189134.85153000001</v>
      </c>
      <c r="T500" t="s">
        <v>25</v>
      </c>
    </row>
    <row r="501" spans="17:24">
      <c r="Q501" s="97" t="s">
        <v>5906</v>
      </c>
      <c r="R501" s="93">
        <v>564888.82799599995</v>
      </c>
      <c r="T501" s="112">
        <f>V497+T499</f>
        <v>-4032375.0808932781</v>
      </c>
    </row>
    <row r="502" spans="17:24">
      <c r="Q502" s="97" t="s">
        <v>5928</v>
      </c>
      <c r="R502" s="93">
        <v>8762299.2047910001</v>
      </c>
      <c r="T502" t="s">
        <v>25</v>
      </c>
    </row>
    <row r="503" spans="17:24">
      <c r="Q503" s="97" t="s">
        <v>5928</v>
      </c>
      <c r="R503" s="93">
        <v>-341847876.93843603</v>
      </c>
      <c r="T503" t="s">
        <v>25</v>
      </c>
      <c r="X503" s="112">
        <f>V511+V513</f>
        <v>22521440</v>
      </c>
    </row>
    <row r="504" spans="17:24">
      <c r="Q504" s="97" t="s">
        <v>5966</v>
      </c>
      <c r="R504" s="93">
        <v>259993.58394100002</v>
      </c>
      <c r="W504" s="94" t="s">
        <v>25</v>
      </c>
    </row>
    <row r="505" spans="17:24">
      <c r="Q505" s="97" t="s">
        <v>5972</v>
      </c>
      <c r="R505" s="93">
        <v>269955.31205999997</v>
      </c>
    </row>
    <row r="506" spans="17:24">
      <c r="Q506" s="97"/>
      <c r="R506" s="93"/>
      <c r="T506" t="s">
        <v>25</v>
      </c>
    </row>
    <row r="507" spans="17:24">
      <c r="Q507" s="97"/>
      <c r="R507" s="93"/>
      <c r="T507" s="97" t="s">
        <v>4746</v>
      </c>
      <c r="U507" s="97"/>
      <c r="V507" s="97"/>
    </row>
    <row r="508" spans="17:24">
      <c r="Q508" s="97"/>
      <c r="R508" s="93"/>
      <c r="T508" s="97" t="s">
        <v>452</v>
      </c>
      <c r="U508" s="97">
        <v>4217700</v>
      </c>
      <c r="V508" s="35">
        <f>U508*80</f>
        <v>337416000</v>
      </c>
      <c r="W508" s="94" t="s">
        <v>25</v>
      </c>
    </row>
    <row r="509" spans="17:24">
      <c r="Q509" s="97"/>
      <c r="R509" s="93"/>
      <c r="T509" s="97" t="s">
        <v>5933</v>
      </c>
      <c r="U509" s="97">
        <v>2527652</v>
      </c>
      <c r="V509" s="49">
        <f>U509*80-50000000</f>
        <v>152212160</v>
      </c>
      <c r="X509" t="s">
        <v>25</v>
      </c>
    </row>
    <row r="510" spans="17:24">
      <c r="Q510" s="97"/>
      <c r="R510" s="93"/>
      <c r="T510" s="97" t="s">
        <v>5893</v>
      </c>
      <c r="U510" s="97">
        <v>47381</v>
      </c>
      <c r="V510" s="35">
        <f t="shared" ref="V510" si="108">U510*80</f>
        <v>3790480</v>
      </c>
    </row>
    <row r="511" spans="17:24">
      <c r="Q511" s="97"/>
      <c r="R511" s="93"/>
      <c r="T511" s="97" t="s">
        <v>1071</v>
      </c>
      <c r="U511" s="97">
        <v>226303</v>
      </c>
      <c r="V511" s="186">
        <f>U511*80</f>
        <v>18104240</v>
      </c>
    </row>
    <row r="512" spans="17:24">
      <c r="Q512" s="97" t="s">
        <v>25</v>
      </c>
      <c r="R512" s="93"/>
      <c r="T512" s="97" t="s">
        <v>5892</v>
      </c>
      <c r="U512" s="97">
        <v>8020</v>
      </c>
      <c r="V512" s="35">
        <f>U512*80</f>
        <v>641600</v>
      </c>
    </row>
    <row r="513" spans="16:24">
      <c r="P513" t="s">
        <v>25</v>
      </c>
      <c r="Q513" s="97" t="s">
        <v>25</v>
      </c>
      <c r="R513" s="97" t="s">
        <v>25</v>
      </c>
      <c r="T513" s="97" t="s">
        <v>5888</v>
      </c>
      <c r="U513" s="97">
        <v>55215</v>
      </c>
      <c r="V513" s="186">
        <f>U513*80</f>
        <v>4417200</v>
      </c>
    </row>
    <row r="514" spans="16:24">
      <c r="Q514" s="97"/>
      <c r="R514" s="93">
        <f>SUM(R301:R513)</f>
        <v>2130227808.4744694</v>
      </c>
      <c r="T514" s="97" t="s">
        <v>5889</v>
      </c>
      <c r="U514" s="97">
        <v>26770</v>
      </c>
      <c r="V514" s="49">
        <f>U514*80</f>
        <v>2141600</v>
      </c>
    </row>
    <row r="515" spans="16:24">
      <c r="R515" s="97" t="s">
        <v>6</v>
      </c>
    </row>
    <row r="517" spans="16:24">
      <c r="Q517" t="s">
        <v>25</v>
      </c>
    </row>
    <row r="518" spans="16:24">
      <c r="X518" t="s">
        <v>25</v>
      </c>
    </row>
    <row r="519" spans="16:24">
      <c r="R519" t="s">
        <v>25</v>
      </c>
      <c r="T519" s="97" t="s">
        <v>5556</v>
      </c>
      <c r="U519" s="97">
        <v>139096</v>
      </c>
      <c r="V519" s="167">
        <f>U519*80</f>
        <v>11127680</v>
      </c>
    </row>
    <row r="520" spans="16:24">
      <c r="R520" t="s">
        <v>25</v>
      </c>
      <c r="T520" s="97"/>
      <c r="U520" s="97"/>
      <c r="V520" s="167"/>
    </row>
    <row r="521" spans="16:24">
      <c r="Q521" t="s">
        <v>25</v>
      </c>
      <c r="R521" t="s">
        <v>25</v>
      </c>
      <c r="T521" s="97"/>
      <c r="U521" s="97"/>
      <c r="V521" s="167"/>
    </row>
    <row r="523" spans="16:24">
      <c r="R523" t="s">
        <v>25</v>
      </c>
      <c r="T523" s="94"/>
      <c r="V523" s="94"/>
    </row>
    <row r="524" spans="16:24">
      <c r="T524" s="94"/>
      <c r="V524" s="94"/>
      <c r="W524" s="112"/>
    </row>
    <row r="525" spans="16:24">
      <c r="T525" s="94"/>
      <c r="V525" s="94"/>
    </row>
    <row r="526" spans="16:24">
      <c r="T526" s="94"/>
      <c r="V526" s="94"/>
    </row>
    <row r="528" spans="16:24">
      <c r="U528" s="112"/>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02:G111 G144 G155:G157 G307:G1048576 G172:G193 G296:G302 G139:G141 G117:G125">
    <cfRule type="cellIs" dxfId="9" priority="13" operator="lessThan">
      <formula>0</formula>
    </cfRule>
  </conditionalFormatting>
  <conditionalFormatting sqref="G112">
    <cfRule type="cellIs" dxfId="8" priority="4" operator="lessThan">
      <formula>0</formula>
    </cfRule>
  </conditionalFormatting>
  <conditionalFormatting sqref="G113 G115">
    <cfRule type="cellIs" dxfId="7" priority="5" operator="lessThan">
      <formula>0</formula>
    </cfRule>
  </conditionalFormatting>
  <conditionalFormatting sqref="G116">
    <cfRule type="cellIs" dxfId="6" priority="2" operator="lessThan">
      <formula>0</formula>
    </cfRule>
  </conditionalFormatting>
  <conditionalFormatting sqref="G114">
    <cfRule type="cellIs" dxfId="5" priority="3" operator="lessThan">
      <formula>0</formula>
    </cfRule>
  </conditionalFormatting>
  <conditionalFormatting sqref="G136">
    <cfRule type="cellIs" dxfId="4" priority="1" operator="lessThan">
      <formula>0</formula>
    </cfRule>
  </conditionalFormatting>
  <pageMargins left="0.7" right="0.7" top="0.75" bottom="0.75" header="0.3" footer="0.3"/>
  <pageSetup orientation="portrait" r:id="rId1"/>
  <ignoredErrors>
    <ignoredError sqref="N10" formulaRange="1"/>
    <ignoredError sqref="S22 S34 S41 S45:S47 S114:S115 S117:S118 S121 S59" formula="1"/>
    <ignoredError sqref="N110 N114"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2021-04-18T15:34:57Z</dcterms:modified>
</cp:coreProperties>
</file>