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45" i="18" l="1"/>
  <c r="W145" i="18" s="1"/>
  <c r="X145" i="18"/>
  <c r="S145" i="18"/>
  <c r="W512" i="18" l="1"/>
  <c r="S144" i="18"/>
  <c r="O60" i="18"/>
  <c r="O57" i="18"/>
  <c r="S143" i="18" l="1"/>
  <c r="I31" i="63"/>
  <c r="G31" i="63"/>
  <c r="H31" i="63"/>
  <c r="O31" i="63"/>
  <c r="I29" i="63"/>
  <c r="I30" i="63"/>
  <c r="G30" i="63"/>
  <c r="H30" i="63"/>
  <c r="O30" i="63"/>
  <c r="N31" i="63" l="1"/>
  <c r="J31" i="63"/>
  <c r="K31" i="63" s="1"/>
  <c r="J30" i="63"/>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6" i="18" l="1"/>
  <c r="W501" i="18"/>
  <c r="W502" i="18"/>
  <c r="W503" i="18"/>
  <c r="W504" i="18"/>
  <c r="W505" i="18"/>
  <c r="W507" i="18"/>
  <c r="W508" i="18"/>
  <c r="W509" i="18"/>
  <c r="W517" i="18"/>
  <c r="W518" i="18"/>
  <c r="W519" i="18"/>
  <c r="P25" i="63"/>
  <c r="O25" i="63"/>
  <c r="O26" i="63"/>
  <c r="O27" i="63"/>
  <c r="W500" i="18" l="1"/>
  <c r="H18" i="60" l="1"/>
  <c r="H19" i="60"/>
  <c r="H17" i="60"/>
  <c r="H16" i="60" l="1"/>
  <c r="M53" i="63"/>
  <c r="M52" i="63"/>
  <c r="F29" i="60"/>
  <c r="G6" i="60" l="1"/>
  <c r="H3" i="60" l="1"/>
  <c r="H4" i="60"/>
  <c r="H2" i="60"/>
  <c r="H62" i="63" l="1"/>
  <c r="W499" i="18" l="1"/>
  <c r="H61" i="63"/>
  <c r="N66" i="63"/>
  <c r="K113" i="18" l="1"/>
  <c r="M49" i="63" l="1"/>
  <c r="N52"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5"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4" i="18"/>
  <c r="W493" i="18" l="1"/>
  <c r="U520"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50" i="18"/>
  <c r="V551"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2" i="63"/>
  <c r="H42" i="63"/>
  <c r="J42" i="63" s="1"/>
  <c r="K42" i="63" s="1"/>
  <c r="V556" i="18"/>
  <c r="V555" i="18"/>
  <c r="V552" i="18"/>
  <c r="V554" i="18"/>
  <c r="V561" i="18"/>
  <c r="V553" i="18"/>
  <c r="S129" i="60" l="1"/>
  <c r="R128" i="60"/>
  <c r="X545"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4" i="18"/>
  <c r="R115" i="60" l="1"/>
  <c r="S116" i="60"/>
  <c r="K33"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4" i="18"/>
  <c r="R103" i="60" l="1"/>
  <c r="S104" i="60"/>
  <c r="J46" i="63"/>
  <c r="K46" i="63" s="1"/>
  <c r="K45"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41" i="18" l="1"/>
  <c r="T543"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6"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23" i="18" l="1"/>
  <c r="V526" i="18" s="1"/>
  <c r="U536" i="18"/>
  <c r="V536" i="18" s="1"/>
  <c r="G304" i="20"/>
  <c r="I305" i="20"/>
  <c r="K305" i="20"/>
  <c r="J305" i="20"/>
  <c r="AL73" i="18"/>
  <c r="AM74" i="18"/>
  <c r="R111" i="18"/>
  <c r="V144" i="18" s="1"/>
  <c r="X144" i="18" l="1"/>
  <c r="W144" i="18"/>
  <c r="V75" i="18"/>
  <c r="W75" i="18" s="1"/>
  <c r="V143"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75" i="18" l="1"/>
  <c r="W143" i="18"/>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<sst xmlns="http://schemas.openxmlformats.org/spreadsheetml/2006/main" count="16822" uniqueCount="7046">
  <si>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</si>
  <si>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</si>
  <si>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</si>
  <si>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</si>
  <si>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</si>
  <si>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</si>
  <si>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</si>
  <si>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</si>
  <si>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</si>
  <si>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</si>
  <si>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</si>
  <si>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</si>
  <si>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</si>
  <si>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</si>
  <si>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</si>
  <si>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</si>
  <si>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</si>
  <si>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</si>
  <si>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</si>
  <si>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</si>
  <si>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</si>
  <si>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</si>
  <si>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</si>
  <si>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</si>
  <si>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</si>
  <si>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</si>
  <si>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</si>
  <si>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</si>
  <si>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</si>
  <si>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</si>
  <si>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</si>
  <si>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</si>
  <si>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</si>
  <si>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</si>
  <si>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</si>
  <si>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</si>
  <si>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</si>
  <si>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</si>
  <si>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</si>
  <si>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</si>
  <si>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</si>
  <si>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</si>
  <si>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</si>
  <si>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</si>
  <si>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</si>
  <si>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</si>
  <si>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</si>
  <si>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</si>
  <si>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</si>
  <si>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</si>
  <si>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</si>
  <si>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</si>
  <si>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</si>
  <si>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</si>
  <si>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</si>
  <si>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</si>
  <si>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</si>
  <si>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</si>
  <si>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</si>
  <si>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</si>
  <si>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</si>
  <si>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</si>
  <si>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</si>
  <si>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</si>
  <si>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</si>
  <si>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</si>
  <si>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</si>
  <si>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</si>
  <si>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</si>
  <si>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</si>
  <si>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</si>
  <si>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</si>
  <si>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</si>
  <si>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</si>
  <si>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</si>
  <si>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</si>
  <si>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</si>
  <si>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</si>
  <si>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</si>
  <si>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</si>
  <si>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</si>
  <si>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</si>
  <si>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</si>
  <si>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</si>
  <si>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</si>
  <si>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</si>
  <si>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</si>
  <si>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</si>
  <si>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</si>
  <si>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</si>
  <si>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</si>
  <si>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</si>
  <si>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</si>
  <si>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</si>
  <si>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</si>
  <si>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</si>
  <si>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</si>
  <si>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</si>
  <si>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</si>
  <si>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</si>
  <si>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</si>
  <si>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</si>
  <si>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</si>
  <si>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</si>
  <si>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</si>
  <si>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</si>
  <si>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</si>
  <si>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</si>
  <si>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</si>
  <si>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</si>
  <si>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</si>
  <si>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</si>
  <si>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</si>
  <si>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</si>
  <si>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</si>
  <si>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</si>
  <si>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</si>
  <si>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</si>
  <si>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</si>
  <si>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</si>
  <si>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</si>
  <si>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</si>
  <si>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</si>
  <si>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</si>
  <si>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</si>
  <si>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</si>
  <si>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</si>
  <si>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</si>
  <si>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</si>
  <si>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</si>
  <si>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</si>
  <si>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</si>
  <si>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</si>
  <si>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</si>
  <si>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</si>
  <si>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</si>
  <si>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</si>
  <si>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</si>
  <si>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</si>
  <si>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</si>
  <si>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</si>
  <si>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</si>
  <si>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</si>
  <si>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</si>
  <si>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</si>
  <si>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</si>
  <si>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</si>
  <si>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</si>
  <si>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</si>
  <si>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</si>
  <si>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</si>
  <si>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</si>
  <si>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</si>
  <si>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</si>
  <si>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</si>
  <si>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</si>
  <si>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</si>
  <si>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</si>
  <si>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</si>
  <si>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</si>
  <si>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</si>
  <si>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</si>
  <si>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</si>
  <si>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</si>
  <si>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</si>
  <si>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</si>
  <si>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</si>
  <si>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</si>
  <si>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</si>
  <si>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</si>
  <si>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</si>
  <si>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</si>
  <si>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</si>
  <si>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</si>
  <si>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</si>
  <si>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</si>
  <si>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</si>
  <si>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</si>
  <si>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</si>
  <si>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</si>
  <si>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</si>
  <si>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</si>
  <si>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</si>
  <si>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</si>
  <si>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</si>
  <si>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</si>
  <si>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</si>
  <si>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</si>
  <si>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</si>
  <si>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</si>
  <si>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</si>
  <si>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</si>
  <si>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</si>
  <si>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</si>
  <si>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</si>
  <si>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</si>
  <si>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</si>
  <si>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</si>
  <si>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</si>
  <si>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</si>
  <si>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</si>
  <si>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</si>
  <si>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</si>
  <si>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</si>
  <si>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</si>
  <si>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</si>
  <si>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</si>
  <si>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</si>
  <si>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</si>
  <si>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</si>
  <si>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</si>
  <si>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</si>
  <si>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</si>
  <si>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</si>
  <si>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</si>
  <si>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</si>
  <si>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</si>
  <si>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</si>
  <si>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</si>
  <si>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</si>
  <si>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</si>
  <si>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</si>
  <si>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</si>
  <si>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</si>
  <si>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</si>
  <si>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</si>
  <si>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</si>
  <si>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</si>
  <si>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</si>
  <si>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</si>
  <si>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</si>
  <si>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</si>
  <si>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</si>
  <si>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</si>
  <si>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</si>
  <si>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</si>
  <si>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</si>
  <si>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</si>
  <si>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</si>
  <si>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</si>
  <si>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</si>
  <si>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</si>
  <si>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</si>
  <si>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</si>
  <si>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</si>
  <si>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</si>
  <si>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</si>
  <si>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</si>
  <si>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</si>
  <si>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</si>
  <si>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</si>
  <si>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</si>
  <si>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</si>
  <si>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</si>
  <si>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</si>
  <si>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</si>
  <si>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</si>
  <si>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</si>
  <si>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</si>
  <si>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</si>
  <si>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</si>
  <si>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</si>
  <si>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</si>
  <si>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</si>
  <si>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</si>
  <si>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</si>
  <si>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</si>
  <si>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</si>
  <si>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</si>
  <si>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</si>
  <si>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</si>
  <si>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</si>
  <si>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</si>
  <si>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</si>
  <si>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</si>
  <si>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</si>
  <si>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</si>
  <si>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</si>
  <si>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</si>
  <si>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</si>
  <si>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</si>
  <si>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</si>
  <si>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</si>
  <si>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</si>
  <si>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</si>
  <si>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</si>
  <si>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</si>
  <si>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</si>
  <si>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</si>
  <si>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</si>
  <si>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</si>
  <si>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</si>
  <si>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</si>
  <si>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</si>
  <si>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</si>
  <si>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</si>
  <si>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</si>
  <si>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</si>
  <si>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</si>
  <si>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</si>
  <si>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</si>
  <si>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</si>
  <si>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</si>
  <si>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</si>
  <si>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</si>
  <si>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</si>
  <si>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</si>
  <si>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</si>
  <si>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</si>
  <si>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</si>
  <si>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</si>
  <si>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</si>
  <si>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</si>
  <si>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</si>
  <si>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</si>
  <si>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</si>
  <si>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</si>
  <si>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</si>
  <si>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</si>
  <si>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</si>
  <si>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</si>
  <si>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</si>
  <si>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</si>
  <si>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</si>
  <si>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</si>
  <si>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</si>
  <si>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</si>
  <si>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</si>
  <si>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</si>
  <si>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</si>
  <si>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</si>
  <si>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</si>
  <si>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</si>
  <si>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</si>
  <si>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</si>
  <si>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</si>
  <si>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</si>
  <si>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</si>
  <si>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</si>
  <si>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</si>
  <si>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</si>
  <si>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</si>
  <si>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</si>
  <si>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</si>
  <si>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</si>
  <si>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</si>
  <si>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</si>
  <si>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</si>
  <si>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</si>
  <si>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</si>
  <si>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</si>
  <si>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</si>
  <si>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</si>
  <si>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</si>
  <si>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</si>
  <si>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</si>
  <si>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</si>
  <si>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</si>
  <si>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</si>
  <si>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</si>
  <si>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</si>
  <si>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</si>
  <si>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</si>
  <si>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</si>
  <si>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</si>
  <si>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</si>
  <si>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</si>
  <si>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</si>
  <si>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</si>
  <si>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</si>
  <si>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</si>
  <si>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</si>
  <si>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</si>
  <si>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</si>
  <si>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</si>
  <si>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</si>
  <si>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</si>
  <si>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</si>
  <si>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</si>
  <si>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</si>
  <si>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</si>
  <si>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</si>
  <si>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</si>
  <si>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</si>
  <si>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</si>
  <si>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</si>
  <si>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</si>
  <si>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</si>
  <si>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</si>
  <si>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</si>
  <si>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</si>
  <si>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</si>
  <si>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</si>
  <si>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</si>
  <si>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</si>
  <si>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</si>
  <si>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</si>
  <si>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</si>
  <si>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</si>
  <si>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</si>
  <si>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</si>
  <si>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</si>
  <si>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</si>
  <si>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</si>
  <si>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</si>
  <si>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</si>
  <si>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</si>
  <si>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</si>
  <si>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</si>
  <si>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</si>
  <si>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</si>
  <si>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</si>
  <si>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</si>
  <si>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</si>
  <si>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</si>
  <si>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</si>
  <si>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</si>
  <si>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</si>
  <si>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</si>
  <si>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</si>
  <si>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</si>
  <si>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</si>
  <si>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</si>
  <si>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</si>
  <si>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</si>
  <si>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</si>
  <si>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</si>
  <si>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</si>
  <si>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</si>
  <si>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</si>
  <si>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</si>
  <si>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</si>
  <si>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</si>
  <si>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</si>
  <si>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</si>
  <si>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</si>
  <si>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</si>
  <si>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</si>
  <si>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</si>
  <si>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</si>
  <si>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</si>
  <si>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</si>
  <si>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</si>
  <si>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</si>
  <si>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</si>
  <si>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</si>
  <si>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</si>
  <si>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</si>
  <si>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</si>
  <si>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</si>
  <si>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</si>
  <si>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</si>
  <si>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</si>
  <si>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</si>
  <si>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</si>
  <si>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</si>
  <si>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</si>
  <si>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</si>
  <si>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</si>
  <si>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</si>
  <si>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</si>
  <si>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</si>
  <si>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</si>
  <si>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</si>
  <si>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</si>
  <si>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</si>
  <si>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</si>
  <si>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</si>
  <si>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</si>
  <si>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</si>
  <si>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</si>
  <si>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</si>
  <si>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</si>
  <si>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</si>
  <si>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</si>
  <si>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</si>
  <si>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</si>
  <si>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</si>
  <si>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</si>
  <si>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</si>
  <si>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</si>
  <si>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</si>
  <si>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</si>
  <si>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</si>
  <si>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</si>
  <si>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</si>
  <si>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</si>
  <si>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</si>
  <si>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</si>
  <si>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</si>
  <si>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</si>
  <si>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</si>
  <si>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</si>
  <si>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</si>
  <si>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</si>
  <si>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</si>
  <si>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</si>
  <si>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</si>
  <si>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</si>
  <si>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</si>
  <si>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</si>
  <si>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</si>
  <si>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</si>
  <si>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</si>
  <si>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</si>
  <si>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</si>
  <si>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</si>
  <si>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</si>
  <si>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</si>
  <si>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</si>
  <si>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</si>
  <si>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</si>
  <si>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</si>
  <si>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</si>
  <si>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</si>
  <si>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</si>
  <si>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</si>
  <si>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</si>
  <si>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</si>
  <si>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</si>
  <si>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</si>
  <si>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</si>
  <si>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</si>
  <si>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</si>
  <si>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</si>
  <si>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</si>
  <si>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</si>
  <si>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</si>
  <si>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</si>
  <si>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</si>
  <si>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</si>
  <si>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</si>
  <si>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</si>
  <si>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</si>
  <si>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</si>
  <si>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</si>
  <si>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</si>
  <si>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</si>
  <si>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</si>
  <si>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</si>
  <si>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</si>
  <si>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</si>
  <si>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</si>
  <si>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</si>
  <si>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</si>
  <si>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</si>
  <si>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</si>
  <si>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</si>
  <si>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</si>
  <si>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</si>
  <si>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</si>
  <si>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</si>
  <si>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</si>
  <si>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</si>
  <si>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</si>
  <si>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</si>
  <si>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</si>
  <si>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</si>
  <si>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</si>
  <si>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</si>
  <si>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</si>
  <si>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</si>
  <si>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</si>
  <si>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</si>
  <si>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</si>
  <si>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</si>
  <si>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</si>
  <si>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</si>
  <si>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</si>
  <si>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</si>
  <si>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</si>
  <si>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</si>
  <si>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</si>
  <si>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</si>
  <si>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</si>
  <si>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</si>
  <si>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</si>
  <si>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</si>
  <si>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</si>
  <si>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</si>
  <si>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</si>
  <si>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</si>
  <si>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</si>
  <si>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</si>
  <si>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</si>
  <si>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</si>
  <si>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</si>
  <si>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</si>
  <si>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</si>
  <si>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</si>
  <si>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</si>
  <si>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</si>
  <si>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</si>
  <si>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</si>
  <si>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</si>
  <si>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</si>
  <si>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</si>
  <si>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</si>
  <si>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</si>
  <si>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</si>
  <si>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</si>
  <si>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</si>
  <si>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</si>
  <si>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</si>
  <si>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</si>
  <si>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</si>
  <si>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</si>
  <si>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</si>
  <si>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</si>
  <si>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</si>
  <si>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</si>
  <si>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</si>
  <si>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</si>
  <si>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</si>
  <si>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</si>
  <si>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</si>
  <si>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</si>
  <si>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</si>
  <si>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</si>
  <si>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</si>
  <si>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</si>
  <si>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</si>
  <si>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</si>
  <si>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</si>
  <si>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</si>
  <si>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</si>
  <si>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</si>
  <si>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</si>
  <si>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</si>
  <si>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</si>
  <si>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</si>
  <si>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</si>
  <si>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</si>
  <si>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</si>
  <si>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</si>
  <si>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</si>
  <si>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</si>
  <si>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</si>
  <si>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</si>
  <si>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</si>
  <si>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</si>
  <si>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</si>
  <si>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</si>
  <si>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</si>
  <si>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</si>
  <si>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</si>
  <si>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</si>
  <si>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</si>
  <si>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</si>
  <si>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</si>
  <si>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</si>
  <si>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</si>
  <si>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</si>
  <si>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</si>
  <si>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</si>
  <si>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</si>
  <si>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</si>
  <si>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</si>
  <si>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</si>
  <si>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</si>
  <si>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</si>
  <si>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</si>
  <si>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</si>
  <si>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</si>
  <si>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</si>
  <si>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</si>
  <si>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</si>
  <si>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</si>
  <si>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</si>
  <si>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</si>
  <si>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</si>
  <si>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</si>
  <si>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</si>
  <si>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</si>
  <si>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</si>
  <si>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</si>
  <si>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</si>
  <si>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</si>
  <si>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</si>
  <si>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</si>
  <si>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</si>
  <si>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</si>
  <si>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</si>
  <si>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</si>
  <si>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</si>
  <si>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</si>
  <si>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</si>
  <si>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</si>
  <si>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</si>
  <si>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</si>
  <si>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</si>
  <si>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</si>
  <si>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</si>
  <si>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</si>
  <si>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</si>
  <si>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</si>
  <si>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</si>
  <si>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</si>
  <si>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</si>
  <si>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</si>
  <si>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</si>
  <si>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</si>
  <si>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</si>
  <si>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</si>
  <si>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</si>
  <si>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</si>
  <si>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</si>
  <si>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</si>
  <si>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</si>
  <si>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</si>
  <si>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</si>
  <si>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</si>
  <si>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</si>
  <si>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</si>
  <si>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</si>
  <si>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</si>
  <si>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</si>
  <si>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</si>
  <si>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</si>
  <si>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</si>
  <si>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</si>
  <si>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</si>
  <si>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</si>
  <si>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</si>
  <si>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</si>
  <si>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</si>
  <si>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</si>
  <si>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</si>
  <si>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</si>
  <si>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</si>
  <si>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</si>
  <si>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</si>
  <si>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</si>
  <si>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</si>
  <si>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</si>
  <si>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</si>
  <si>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</si>
  <si>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</si>
  <si>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</si>
  <si>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</si>
  <si>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</si>
  <si>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</si>
  <si>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</si>
  <si>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</si>
  <si>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</si>
  <si>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</si>
  <si>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</si>
  <si>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</si>
  <si>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</si>
  <si>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</si>
  <si>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</si>
  <si>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</si>
  <si>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</si>
  <si>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</si>
  <si>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</si>
  <si>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</si>
  <si>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</si>
  <si>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</si>
  <si>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</si>
  <si>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</si>
  <si>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</si>
  <si>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</si>
  <si>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</si>
  <si>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</si>
  <si>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</si>
  <si>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</si>
  <si>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</si>
  <si>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</si>
  <si>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</si>
  <si>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</si>
  <si>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</si>
  <si>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</si>
  <si>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</si>
  <si>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</si>
  <si>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</si>
  <si>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</si>
  <si>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</si>
  <si>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</si>
  <si>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</si>
  <si>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</si>
  <si>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</si>
  <si>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</si>
  <si>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</si>
  <si>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</si>
  <si>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</si>
  <si>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</si>
  <si>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</si>
  <si>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</si>
  <si>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</si>
  <si>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</si>
  <si>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</si>
  <si>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</si>
  <si>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</si>
  <si>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</si>
  <si>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</si>
  <si>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</si>
  <si>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</si>
  <si>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</si>
  <si>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</si>
  <si>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</si>
  <si>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</si>
  <si>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</si>
  <si>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</si>
  <si>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</si>
  <si>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</si>
  <si>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</si>
  <si>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</si>
  <si>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</si>
  <si>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</si>
  <si>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</si>
  <si>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</si>
  <si>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</si>
  <si>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</si>
  <si>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</si>
  <si>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</si>
  <si>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</si>
  <si>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</si>
  <si>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</si>
  <si>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</si>
  <si>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</si>
  <si>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</si>
  <si>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</si>
  <si>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</si>
  <si>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</si>
  <si>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</si>
  <si>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</si>
  <si>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</si>
  <si>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</si>
  <si>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</si>
  <si>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</si>
  <si>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</si>
  <si>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</si>
  <si>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</si>
  <si>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</si>
  <si>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</si>
  <si>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</si>
  <si>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</si>
  <si>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</si>
  <si>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</si>
  <si>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</si>
  <si>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</si>
  <si>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</si>
  <si>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</si>
  <si>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</si>
  <si>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</si>
  <si>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</si>
  <si>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</si>
  <si>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</si>
  <si>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</si>
  <si>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</si>
  <si>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</si>
  <si>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</si>
  <si>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</si>
  <si>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</si>
  <si>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</si>
  <si>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</si>
  <si>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</si>
  <si>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</si>
  <si>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</si>
  <si>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</si>
  <si>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</si>
  <si>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</si>
  <si>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</si>
  <si>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</si>
  <si>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</si>
  <si>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</si>
  <si>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</si>
  <si>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</si>
  <si>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</si>
  <si>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</si>
  <si>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</si>
  <si>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</si>
  <si>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</si>
  <si>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</si>
  <si>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</si>
  <si>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</si>
  <si>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</si>
  <si>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</si>
  <si>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</si>
  <si>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</si>
  <si>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</si>
  <si>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</si>
  <si>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</si>
  <si>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</si>
  <si>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</si>
  <si>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</si>
  <si>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</si>
  <si>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</si>
  <si>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</si>
  <si>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</si>
  <si>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</si>
  <si>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</si>
  <si>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</si>
  <si>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</si>
  <si>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</si>
  <si>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</si>
  <si>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</si>
  <si>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</si>
  <si>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</si>
  <si>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</si>
  <si>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</si>
  <si>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</si>
  <si>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</si>
  <si>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</si>
  <si>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</si>
  <si>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</si>
  <si>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</si>
  <si>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</si>
  <si>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</si>
  <si>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</si>
  <si>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</si>
  <si>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</si>
  <si>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</si>
  <si>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</si>
  <si>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</si>
  <si>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</si>
  <si>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</si>
  <si>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</si>
  <si>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</si>
  <si>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</si>
  <si>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</si>
  <si>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</si>
  <si>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</si>
  <si>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</si>
  <si>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</si>
  <si>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</si>
  <si>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</si>
  <si>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</si>
  <si>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</si>
  <si>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</si>
  <si>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</si>
  <si>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</si>
  <si>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</si>
  <si>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</si>
  <si>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</si>
  <si>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</si>
  <si>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</si>
  <si>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</si>
  <si>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</si>
  <si>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</si>
  <si>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</si>
  <si>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</si>
  <si>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</si>
  <si>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</si>
  <si>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</si>
  <si>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</si>
  <si>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</si>
  <si>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</si>
  <si>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</si>
  <si>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</si>
  <si>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</si>
  <si>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</si>
  <si>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</si>
  <si>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</si>
  <si>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</si>
  <si>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</si>
  <si>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</si>
  <si>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</si>
  <si>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</si>
  <si>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</si>
  <si>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</si>
  <si>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</si>
  <si>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</si>
  <si>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</si>
  <si>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</si>
  <si>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</si>
  <si>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</si>
  <si>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</si>
  <si>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</si>
  <si>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</si>
  <si>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</si>
  <si>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</si>
  <si>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</si>
  <si>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</si>
  <si>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</si>
  <si>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</si>
  <si>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</si>
  <si>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</si>
  <si>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</si>
  <si>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</si>
  <si>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</si>
  <si>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</si>
  <si>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</si>
  <si>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</si>
  <si>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</si>
  <si>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</si>
  <si>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</si>
  <si>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</si>
  <si>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</si>
  <si>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</si>
  <si>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</si>
  <si>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</si>
  <si>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</si>
  <si>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</si>
  <si>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</si>
  <si>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</si>
  <si>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</si>
  <si>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</si>
  <si>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</si>
  <si>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</si>
  <si>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</si>
  <si>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</si>
  <si>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</si>
  <si>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</si>
  <si>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</si>
  <si>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</si>
  <si>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</si>
  <si>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</si>
  <si>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</si>
  <si>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</si>
  <si>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</si>
  <si>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</si>
  <si>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</si>
  <si>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</si>
  <si>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</si>
  <si>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</si>
  <si>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</si>
  <si>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</si>
  <si>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</si>
  <si>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</si>
  <si>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</si>
  <si>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</si>
  <si>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</si>
  <si>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</si>
  <si>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</si>
  <si>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</si>
  <si>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</si>
  <si>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</si>
  <si>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</si>
  <si>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</si>
  <si>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</si>
  <si>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</si>
  <si>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</si>
  <si>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</si>
  <si>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</si>
  <si>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</si>
  <si>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</si>
  <si>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</si>
  <si>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</si>
  <si>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</si>
  <si>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</si>
  <si>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</si>
  <si>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</si>
  <si>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</si>
  <si>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</si>
  <si>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</si>
  <si>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</si>
  <si>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</si>
  <si>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</si>
  <si>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</si>
  <si>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</si>
  <si>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</si>
  <si>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</si>
  <si>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</si>
  <si>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</si>
  <si>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</si>
  <si>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</si>
  <si>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</si>
  <si>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</si>
  <si>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</si>
  <si>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</si>
  <si>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</si>
  <si>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</si>
  <si>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</si>
  <si>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</si>
  <si>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</si>
  <si>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</si>
  <si>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</si>
  <si>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</si>
  <si>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</si>
  <si>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</si>
  <si>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</si>
  <si>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</si>
  <si>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</si>
  <si>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</si>
  <si>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</si>
  <si>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</si>
  <si>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</si>
  <si>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</si>
  <si>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</si>
  <si>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</si>
  <si>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</si>
  <si>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</si>
  <si>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</si>
  <si>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</si>
  <si>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</si>
  <si>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</si>
  <si>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</si>
  <si>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</si>
  <si>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</si>
  <si>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</si>
  <si>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</si>
  <si>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</si>
  <si>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</si>
  <si>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</si>
  <si>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</si>
  <si>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</si>
  <si>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</si>
  <si>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</si>
  <si>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</si>
  <si>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</si>
  <si>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</si>
  <si>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</si>
  <si>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</si>
  <si>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</si>
  <si>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</si>
  <si>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</si>
  <si>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</si>
  <si>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</si>
  <si>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</si>
  <si>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</si>
  <si>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</si>
  <si>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</si>
  <si>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</si>
  <si>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</si>
  <si>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</si>
  <si>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</si>
  <si>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</si>
  <si>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</si>
  <si>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</si>
  <si>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</si>
  <si>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</si>
  <si>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</si>
  <si>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</si>
  <si>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</si>
  <si>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</si>
  <si>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</si>
  <si>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</si>
  <si>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</si>
  <si>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</si>
  <si>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</si>
  <si>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</si>
  <si>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</si>
  <si>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</si>
  <si>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</si>
  <si>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</si>
  <si>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</si>
  <si>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</si>
  <si>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</si>
  <si>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</si>
  <si>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</si>
  <si>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</si>
  <si>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</si>
  <si>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</si>
  <si>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</si>
  <si>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</si>
  <si>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</si>
  <si>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</si>
  <si>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</si>
  <si>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</si>
  <si>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</si>
  <si>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</si>
  <si>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</si>
  <si>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</si>
  <si>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</si>
  <si>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</si>
  <si>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</si>
  <si>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</si>
  <si>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</si>
  <si>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</si>
  <si>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</si>
  <si>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</si>
  <si>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</si>
  <si>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</si>
  <si>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</si>
  <si>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</si>
  <si>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</si>
  <si>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</si>
  <si>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</si>
  <si>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</si>
  <si>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</si>
  <si>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</si>
  <si>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</si>
  <si>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</si>
  <si>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</si>
  <si>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</si>
  <si>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</si>
  <si>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</si>
  <si>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</si>
  <si>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</si>
  <si>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</si>
  <si>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</si>
  <si>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</si>
  <si>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</si>
  <si>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</si>
  <si>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</si>
  <si>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</si>
  <si>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</si>
  <si>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</si>
  <si>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</si>
  <si>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</si>
  <si>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</si>
  <si>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</si>
  <si>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</si>
  <si>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</si>
  <si>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</si>
  <si>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</si>
  <si>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</si>
  <si>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</si>
  <si>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</si>
  <si>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</si>
  <si>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</si>
  <si>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</si>
  <si>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</si>
  <si>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</si>
  <si>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</si>
  <si>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</si>
  <si>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</si>
  <si>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</si>
  <si>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</si>
  <si>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</si>
  <si>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</si>
  <si>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</si>
  <si>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</si>
  <si>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</si>
  <si>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</si>
  <si>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</si>
  <si>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</si>
  <si>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</si>
  <si>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</si>
  <si>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</si>
  <si>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</si>
  <si>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</si>
  <si>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</si>
  <si>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</si>
  <si>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</si>
  <si>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</si>
  <si>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</si>
  <si>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</si>
  <si>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</si>
  <si>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</si>
  <si>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</si>
  <si>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</si>
  <si>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</si>
  <si>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</si>
  <si>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</si>
  <si>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</si>
  <si>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</si>
  <si>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</si>
  <si>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</si>
  <si>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</si>
  <si>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</si>
  <si>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</si>
  <si>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</si>
  <si>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</si>
  <si>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</si>
  <si>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</si>
  <si>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</si>
  <si>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</si>
  <si>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</si>
  <si>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</si>
  <si>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</si>
  <si>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</si>
  <si>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</si>
  <si>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</si>
  <si>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</si>
  <si>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</si>
  <si>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</si>
  <si>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</si>
  <si>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</si>
  <si>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</si>
  <si>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</si>
  <si>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</si>
  <si>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</si>
  <si>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</si>
  <si>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</si>
  <si>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</si>
  <si>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</si>
  <si>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</si>
  <si>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</si>
  <si>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</si>
  <si>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</si>
  <si>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</si>
  <si>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</si>
  <si>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</si>
  <si>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</si>
  <si>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</si>
  <si>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</si>
  <si>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</si>
  <si>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</si>
  <si>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</si>
  <si>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</si>
  <si>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</si>
  <si>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</si>
  <si>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</si>
  <si>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</si>
  <si>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</si>
  <si>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</si>
  <si>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</si>
  <si>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</si>
  <si>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</si>
  <si>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</si>
  <si>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</si>
  <si>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</si>
  <si>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</si>
  <si>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</si>
  <si>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</si>
  <si>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</si>
  <si>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</si>
  <si>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</si>
  <si>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</si>
  <si>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</si>
  <si>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</si>
  <si>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</si>
  <si>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</si>
  <si>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</si>
  <si>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</si>
  <si>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</si>
  <si>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</si>
  <si>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</si>
  <si>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</si>
  <si>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</si>
  <si>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</si>
  <si>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</si>
  <si>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</si>
  <si>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</si>
  <si>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</si>
  <si>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</si>
  <si>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</si>
  <si>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</si>
  <si>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</si>
  <si>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</si>
  <si>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</si>
  <si>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</si>
  <si>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</si>
  <si>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</si>
  <si>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</si>
  <si>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</si>
  <si>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</si>
  <si>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</si>
  <si>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</si>
  <si>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</si>
  <si>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</si>
  <si>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</si>
  <si>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</si>
  <si>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</si>
  <si>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</si>
  <si>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</si>
  <si>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</si>
  <si>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</si>
  <si>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</si>
  <si>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</si>
  <si>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</si>
  <si>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</si>
  <si>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</si>
  <si>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</si>
  <si>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</si>
  <si>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</si>
  <si>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</si>
  <si>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</si>
  <si>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</si>
  <si>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</si>
  <si>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</si>
  <si>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</si>
  <si>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</si>
  <si>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</si>
  <si>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</si>
  <si>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</si>
  <si>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</si>
  <si>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</si>
  <si>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</si>
  <si>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</si>
  <si>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</si>
  <si>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</si>
  <si>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</si>
  <si>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</si>
  <si>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</si>
  <si>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</si>
  <si>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</si>
  <si>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</si>
  <si>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</si>
  <si>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</si>
  <si>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</si>
  <si>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</si>
  <si>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</si>
  <si>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</si>
  <si>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</si>
  <si>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</si>
  <si>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</si>
  <si>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</si>
  <si>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</si>
  <si>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</si>
  <si>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</si>
  <si>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</si>
  <si>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</si>
  <si>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</si>
  <si>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</si>
  <si>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</si>
  <si>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</si>
  <si>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</si>
  <si>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</si>
  <si>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</si>
  <si>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</si>
  <si>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</si>
  <si>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</si>
  <si>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</si>
  <si>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</si>
  <si>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</si>
  <si>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</si>
  <si>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</si>
  <si>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</si>
  <si>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</si>
  <si>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</si>
  <si>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</si>
  <si>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</si>
  <si>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</si>
  <si>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</si>
  <si>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</si>
  <si>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</si>
  <si>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</si>
  <si>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</si>
  <si>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</si>
  <si>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</si>
  <si>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</si>
  <si>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</si>
  <si>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</si>
  <si>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</si>
  <si>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</si>
  <si>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</si>
  <si>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</si>
  <si>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</si>
  <si>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</si>
  <si>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</si>
  <si>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</si>
  <si>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</si>
  <si>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</si>
  <si>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</si>
  <si>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</si>
  <si>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</si>
  <si>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</si>
  <si>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</si>
  <si>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</si>
  <si>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</si>
  <si>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</si>
  <si>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</si>
  <si>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</si>
  <si>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</si>
  <si>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</si>
  <si>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</si>
  <si>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</si>
  <si>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</si>
  <si>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</si>
  <si>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</si>
  <si>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</si>
  <si>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</si>
  <si>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</si>
  <si>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</si>
  <si>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</si>
  <si>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</si>
  <si>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</si>
  <si>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</si>
  <si>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</si>
  <si>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</si>
  <si>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</si>
  <si>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</si>
  <si>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</si>
  <si>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</si>
  <si>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</si>
  <si>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</si>
  <si>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</si>
  <si>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</si>
  <si>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</si>
  <si>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</si>
  <si>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</si>
  <si>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</si>
  <si>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</si>
  <si>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</si>
  <si>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</si>
  <si>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</si>
  <si>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</si>
  <si>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</si>
  <si>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</si>
  <si>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</si>
  <si>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</si>
  <si>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</si>
  <si>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</si>
  <si>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</si>
  <si>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</si>
  <si>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</si>
  <si>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</si>
  <si>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</si>
  <si>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</si>
  <si>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</si>
  <si>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</si>
  <si>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</si>
  <si>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</si>
  <si>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</si>
  <si>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</si>
  <si>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</si>
  <si>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</si>
  <si>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</si>
  <si>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</si>
  <si>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</si>
  <si>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</si>
  <si>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</si>
  <si>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</si>
  <si>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</si>
  <si>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</si>
  <si>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</si>
  <si>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</si>
  <si>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</si>
  <si>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</si>
  <si>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</si>
  <si>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</si>
  <si>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</si>
  <si>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</si>
  <si>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</si>
  <si>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</si>
  <si>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</si>
  <si>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</si>
  <si>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</si>
  <si>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</si>
  <si>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</si>
  <si>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</si>
  <si>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</si>
  <si>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</si>
  <si>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</si>
  <si>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</si>
  <si>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</si>
  <si>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</si>
  <si>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</si>
  <si>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</si>
  <si>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</si>
  <si>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</si>
  <si>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</si>
  <si>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</si>
  <si>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</si>
  <si>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</si>
  <si>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</si>
  <si>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</si>
  <si>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</si>
  <si>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</si>
  <si>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</si>
  <si>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</si>
  <si>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</si>
  <si>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</si>
  <si>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</si>
  <si>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</si>
  <si>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</si>
  <si>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</si>
  <si>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</si>
  <si>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</si>
  <si>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</si>
  <si>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</si>
  <si>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</si>
  <si>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</si>
  <si>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</si>
  <si>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</si>
  <si>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</si>
  <si>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</si>
  <si>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</si>
  <si>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</si>
  <si>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</si>
  <si>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</si>
  <si>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</si>
  <si>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</si>
  <si>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</si>
  <si>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</si>
  <si>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</si>
  <si>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</si>
  <si>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</si>
  <si>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</si>
  <si>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</si>
  <si>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</si>
  <si>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</si>
  <si>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</si>
  <si>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</si>
  <si>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</si>
  <si>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</si>
  <si>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</si>
  <si>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</si>
  <si>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</si>
  <si>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</si>
  <si>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</si>
  <si>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</si>
  <si>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</si>
  <si>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</si>
  <si>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</si>
  <si>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</si>
  <si>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</si>
  <si>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</si>
  <si>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</si>
  <si>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</si>
  <si>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</si>
  <si>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</si>
  <si>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</si>
  <si>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</si>
  <si>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</si>
  <si>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</si>
  <si>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</si>
  <si>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</si>
  <si>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</si>
  <si>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</si>
  <si>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</si>
  <si>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</si>
  <si>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</si>
  <si>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</si>
  <si>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</si>
  <si>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</si>
  <si>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</si>
  <si>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</si>
  <si>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</si>
  <si>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</si>
  <si>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</si>
  <si>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</si>
  <si>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</si>
  <si>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</si>
  <si>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</si>
  <si>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</si>
  <si>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</si>
  <si>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</si>
  <si>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</si>
  <si>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</si>
  <si>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</si>
  <si>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</si>
  <si>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</si>
  <si>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</si>
  <si>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</si>
  <si>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</si>
  <si>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</si>
  <si>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</si>
  <si>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</si>
  <si>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</si>
  <si>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</si>
  <si>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</si>
  <si>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</si>
  <si>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</si>
  <si>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</si>
  <si>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</si>
  <si>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</si>
  <si>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</si>
  <si>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</si>
  <si>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</si>
  <si>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</si>
  <si>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</si>
  <si>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</si>
  <si>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</si>
  <si>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</si>
  <si>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</si>
  <si>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</si>
  <si>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</si>
  <si>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</si>
  <si>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</si>
  <si>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</si>
  <si>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</si>
  <si>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</si>
  <si>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</si>
  <si>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</si>
  <si>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</si>
  <si>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</si>
  <si>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</si>
  <si>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</si>
  <si>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</si>
  <si>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</si>
  <si>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</si>
  <si>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</si>
  <si>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</si>
  <si>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</si>
  <si>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</si>
  <si>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</si>
  <si>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</si>
  <si>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</si>
  <si>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</si>
  <si>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</si>
  <si>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</si>
  <si>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</si>
  <si>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</si>
  <si>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</si>
  <si>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</si>
  <si>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</si>
  <si>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</si>
  <si>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</si>
  <si>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</si>
  <si>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</si>
  <si>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</si>
  <si>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</si>
  <si>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</si>
  <si>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</si>
  <si>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</si>
  <si>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</si>
  <si>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</si>
  <si>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</si>
  <si>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</si>
  <si>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</si>
  <si>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</si>
  <si>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</si>
  <si>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</si>
  <si>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</si>
  <si>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</si>
  <si>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</si>
  <si>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</si>
  <si>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</si>
  <si>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</si>
  <si>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</si>
  <si>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</si>
  <si>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</si>
  <si>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</si>
  <si>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</si>
  <si>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</si>
  <si>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</si>
  <si>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</si>
  <si>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</si>
  <si>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</si>
  <si>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</si>
  <si>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</si>
  <si>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</si>
  <si>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</si>
  <si>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</si>
  <si>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</si>
  <si>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</si>
  <si>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</si>
  <si>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</si>
  <si>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</si>
  <si>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</si>
  <si>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</si>
  <si>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</si>
  <si>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</si>
  <si>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</si>
  <si>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</si>
  <si>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</si>
  <si>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</si>
  <si>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</si>
  <si>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</si>
  <si>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</si>
  <si>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</si>
  <si>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</si>
  <si>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</si>
  <si>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</si>
  <si>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</si>
  <si>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</si>
  <si>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</si>
  <si>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</si>
  <si>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</si>
  <si>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</si>
  <si>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</si>
  <si>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</si>
  <si>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</si>
  <si>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</si>
  <si>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</si>
  <si>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</si>
  <si>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</si>
  <si>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</si>
  <si>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</si>
  <si>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</si>
  <si>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</si>
  <si>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</si>
  <si>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</si>
  <si>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</si>
  <si>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</si>
  <si>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</si>
  <si>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</si>
  <si>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</si>
  <si>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</si>
  <si>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</si>
  <si>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</si>
  <si>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</si>
  <si>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</si>
  <si>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</si>
  <si>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</si>
  <si>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</si>
  <si>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</si>
  <si>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</si>
  <si>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</si>
  <si>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</si>
  <si>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</si>
  <si>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</si>
  <si>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</si>
  <si>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</si>
  <si>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</si>
  <si>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</si>
  <si>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</si>
  <si>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</si>
  <si>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</si>
  <si>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</si>
  <si>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</si>
  <si>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</si>
  <si>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</si>
  <si>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</si>
  <si>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</si>
  <si>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</si>
  <si>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</si>
  <si>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</si>
  <si>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</si>
  <si>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</si>
  <si>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</si>
  <si>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</si>
  <si>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</si>
  <si>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</si>
  <si>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</si>
  <si>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</si>
  <si>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</si>
  <si>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</si>
  <si>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</si>
  <si>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</si>
  <si>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</si>
  <si>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</si>
  <si>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</si>
  <si>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</si>
  <si>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</si>
  <si>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</si>
  <si>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</si>
  <si>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</si>
  <si>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</si>
  <si>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</si>
  <si>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</si>
  <si>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</si>
  <si>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</si>
  <si>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</si>
  <si>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</si>
  <si>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</si>
  <si>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</si>
  <si>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</si>
  <si>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</si>
  <si>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</si>
  <si>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</si>
  <si>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</si>
  <si>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</si>
  <si>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</si>
  <si>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</si>
  <si>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</si>
  <si>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</si>
  <si>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</si>
  <si>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</si>
  <si>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</si>
  <si>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</si>
  <si>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</si>
  <si>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</si>
  <si>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</si>
  <si>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</si>
  <si>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</si>
  <si>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</si>
  <si>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</si>
  <si>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</si>
  <si>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</si>
  <si>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</si>
  <si>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</si>
  <si>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</si>
  <si>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</si>
  <si>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</si>
  <si>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</si>
  <si>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</si>
  <si>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</si>
  <si>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</si>
  <si>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</si>
  <si>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</si>
  <si>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</si>
  <si>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</si>
  <si>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</si>
  <si>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</si>
  <si>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</si>
  <si>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</si>
  <si>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</si>
  <si>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</si>
  <si>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</si>
  <si>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</si>
  <si>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</si>
  <si>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</si>
  <si>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</si>
  <si>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</si>
  <si>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</si>
  <si>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</si>
  <si>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</si>
  <si>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</si>
  <si>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</si>
  <si>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</si>
  <si>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</si>
  <si>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</si>
  <si>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</si>
  <si>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</si>
  <si>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</si>
  <si>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</si>
  <si>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</si>
  <si>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</si>
  <si>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</si>
  <si>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</si>
  <si>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</si>
  <si>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</si>
  <si>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</si>
  <si>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</si>
  <si>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</si>
  <si>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</si>
  <si>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</si>
  <si>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</si>
  <si>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</si>
  <si>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</si>
  <si>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</si>
  <si>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</si>
  <si>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</si>
  <si>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</si>
  <si>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</si>
  <si>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</si>
  <si>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</si>
  <si>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</si>
  <si>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</si>
  <si>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</si>
  <si>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</si>
  <si>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</si>
  <si>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</si>
  <si>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</si>
  <si>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</si>
  <si>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</si>
  <si>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</si>
  <si>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</si>
  <si>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</si>
  <si>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</si>
  <si>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</si>
  <si>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</si>
  <si>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</si>
  <si>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</si>
  <si>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</si>
  <si>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</si>
  <si>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</si>
  <si>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</si>
  <si>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</si>
  <si>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</si>
  <si>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</si>
  <si>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</si>
  <si>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</si>
  <si>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</si>
  <si>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</si>
  <si>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</si>
  <si>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</si>
  <si>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</si>
  <si>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</si>
  <si>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</si>
  <si>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</si>
  <si>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</si>
  <si>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</si>
  <si>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</si>
  <si>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</si>
  <si>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</si>
  <si>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</si>
  <si>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</si>
  <si>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</si>
  <si>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</si>
  <si>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</si>
  <si>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</si>
  <si>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</si>
  <si>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</si>
  <si>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</si>
  <si>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</si>
  <si>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</si>
  <si>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</si>
  <si>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</si>
  <si>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</si>
  <si>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</si>
  <si>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</si>
  <si>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</si>
  <si>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</si>
  <si>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</si>
  <si>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</si>
  <si>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</si>
  <si>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</si>
  <si>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</si>
  <si>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</si>
  <si>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</si>
  <si>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</si>
  <si>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</si>
  <si>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</si>
  <si>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</si>
  <si>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</si>
  <si>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</si>
  <si>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</si>
  <si>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</si>
  <si>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</si>
  <si>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</si>
  <si>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</si>
  <si>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</si>
  <si>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</si>
  <si>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</si>
  <si>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</si>
  <si>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</si>
  <si>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</si>
  <si>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</si>
  <si>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</si>
  <si>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</si>
  <si>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</si>
  <si>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</si>
  <si>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</si>
  <si>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</si>
  <si>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</si>
  <si>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</si>
  <si>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</si>
  <si>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</si>
  <si>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</si>
  <si>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</si>
  <si>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</si>
  <si>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</si>
  <si>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</si>
  <si>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</si>
  <si>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</si>
  <si>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</si>
  <si>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</si>
  <si>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</si>
  <si>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</si>
  <si>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</si>
  <si>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</si>
  <si>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</si>
  <si>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</si>
  <si>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</si>
  <si>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</si>
  <si>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</si>
  <si>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</si>
  <si>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</si>
  <si>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</si>
  <si>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</si>
  <si>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</si>
  <si>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</si>
  <si>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</si>
  <si>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</si>
  <si>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</si>
  <si>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</si>
  <si>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</si>
  <si>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</si>
  <si>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</si>
  <si>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</si>
  <si>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</si>
  <si>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</si>
  <si>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</si>
  <si>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</si>
  <si>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</si>
  <si>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</si>
  <si>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</si>
  <si>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</si>
  <si>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</si>
  <si>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</si>
  <si>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</si>
  <si>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</si>
  <si>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</si>
  <si>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</si>
  <si>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</si>
  <si>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</si>
  <si>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</si>
  <si>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</si>
  <si>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</si>
  <si>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</si>
  <si>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</si>
  <si>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</si>
  <si>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</si>
  <si>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</si>
  <si>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</si>
  <si>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</si>
  <si>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</si>
  <si>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</si>
  <si>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</si>
  <si>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</si>
  <si>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</si>
  <si>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</si>
  <si>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</si>
  <si>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</si>
  <si>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</si>
  <si>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</si>
  <si>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</si>
  <si>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</si>
  <si>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</si>
  <si>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</si>
  <si>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</si>
  <si>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</si>
  <si>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</si>
  <si>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</si>
  <si>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</si>
  <si>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</si>
  <si>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</si>
  <si>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</si>
  <si>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</si>
  <si>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</si>
  <si>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</si>
  <si>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</si>
  <si>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</si>
  <si>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</si>
  <si>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</si>
  <si>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</si>
  <si>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</si>
  <si>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</si>
  <si>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</si>
  <si>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</si>
  <si>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</si>
  <si>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</si>
  <si>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</si>
  <si>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</si>
  <si>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</si>
  <si>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</si>
  <si>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</si>
  <si>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</si>
  <si>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</si>
  <si>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</si>
  <si>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</si>
  <si>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</si>
  <si>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</si>
  <si>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</si>
  <si>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</si>
  <si>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</si>
  <si>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</si>
  <si>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</si>
  <si>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</si>
  <si>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</si>
  <si>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</si>
  <si>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</si>
  <si>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</si>
  <si>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</si>
  <si>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</si>
  <si>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</si>
  <si>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</si>
  <si>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</si>
  <si>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</si>
  <si>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</si>
  <si>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</si>
  <si>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</si>
  <si>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</si>
  <si>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</si>
  <si>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</si>
  <si>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</si>
  <si>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</si>
  <si>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</si>
  <si>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</si>
  <si>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</si>
  <si>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</si>
  <si>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</si>
  <si>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</si>
  <si>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</si>
  <si>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</si>
  <si>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</si>
  <si>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</si>
  <si>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</si>
  <si>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</si>
  <si>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</si>
  <si>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</si>
  <si>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</si>
  <si>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</si>
  <si>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</si>
  <si>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</si>
  <si>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</si>
  <si>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</si>
  <si>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</si>
  <si>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</si>
  <si>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</si>
  <si>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</si>
  <si>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</si>
  <si>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</si>
  <si>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</si>
  <si>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</si>
  <si>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</si>
  <si>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</si>
  <si>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</si>
  <si>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</si>
  <si>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</si>
  <si>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</si>
  <si>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</si>
  <si>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</si>
  <si>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</si>
  <si>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</si>
  <si>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</si>
  <si>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</si>
  <si>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</si>
  <si>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</si>
  <si>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</si>
  <si>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</si>
  <si>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</si>
  <si>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</si>
  <si>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</si>
  <si>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</si>
  <si>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</si>
  <si>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</si>
  <si>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</si>
  <si>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</si>
  <si>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</si>
  <si>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</si>
  <si>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</si>
  <si>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</si>
  <si>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</si>
  <si>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</si>
  <si>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</si>
  <si>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</si>
  <si>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</si>
  <si>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</si>
  <si>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</si>
  <si>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</si>
  <si>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</si>
  <si>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</si>
  <si>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</si>
  <si>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</si>
  <si>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</si>
  <si>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</si>
  <si>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</si>
  <si>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</si>
  <si>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</si>
  <si>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</si>
  <si>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</si>
  <si>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</si>
  <si>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</si>
  <si>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</si>
  <si>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</si>
  <si>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</si>
  <si>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</si>
  <si>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</si>
  <si>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</si>
  <si>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</si>
  <si>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</si>
  <si>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</si>
  <si>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</si>
  <si>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</si>
  <si>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</si>
  <si>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</si>
  <si>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</si>
  <si>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</si>
  <si>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</si>
  <si>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</si>
  <si>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</si>
  <si>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</si>
  <si>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</si>
  <si>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</si>
  <si>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</si>
  <si>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</si>
  <si>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</si>
  <si>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</si>
  <si>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</si>
  <si>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</si>
  <si>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</si>
  <si>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</si>
  <si>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</si>
  <si>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</si>
  <si>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</si>
  <si>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</si>
  <si>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</si>
  <si>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</si>
  <si>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</si>
  <si>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</si>
  <si>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</si>
  <si>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</si>
  <si>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</si>
  <si>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</si>
  <si>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</si>
  <si>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</si>
  <si>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</si>
  <si>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</si>
  <si>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</si>
  <si>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</si>
  <si>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</si>
  <si>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</si>
  <si>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</si>
  <si>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</si>
  <si>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</si>
  <si>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</si>
  <si>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</si>
  <si>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</si>
  <si>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</si>
  <si>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</si>
  <si>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</si>
  <si>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</si>
  <si>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</si>
  <si>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</si>
  <si>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</si>
  <si>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</si>
  <si>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</si>
  <si>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</si>
  <si>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</si>
  <si>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</si>
  <si>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</si>
  <si>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</si>
  <si>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</si>
  <si>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</si>
  <si>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</si>
  <si>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</si>
  <si>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</si>
  <si>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</si>
  <si>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</si>
  <si>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</si>
  <si>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</si>
  <si>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</si>
  <si>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</si>
  <si>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</si>
  <si>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</si>
  <si>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</si>
  <si>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</si>
  <si>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</si>
  <si>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</si>
  <si>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</si>
  <si>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</si>
  <si>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</si>
  <si>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</si>
  <si>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</si>
  <si>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</si>
  <si>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</si>
  <si>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</si>
  <si>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</si>
  <si>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</si>
  <si>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</si>
  <si>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</si>
  <si>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</si>
  <si>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</si>
  <si>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</si>
  <si>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</si>
  <si>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</si>
  <si>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</si>
  <si>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</si>
  <si>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</si>
  <si>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</si>
  <si>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</si>
  <si>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</si>
  <si>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</si>
  <si>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</si>
  <si>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</si>
  <si>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</si>
  <si>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</si>
  <si>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</si>
  <si>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</si>
  <si>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</si>
  <si>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</si>
  <si>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</si>
  <si>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</si>
  <si>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</si>
  <si>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</si>
  <si>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</si>
  <si>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</si>
  <si>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</si>
  <si>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</si>
  <si>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</si>
  <si>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</si>
  <si>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</si>
  <si>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</si>
  <si>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</si>
  <si>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</si>
  <si>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</si>
  <si>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</si>
  <si>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</si>
  <si>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</si>
  <si>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</si>
  <si>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</si>
  <si>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</si>
  <si>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</si>
  <si>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</si>
  <si>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</si>
  <si>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</si>
  <si>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</si>
  <si>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</si>
  <si>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</si>
  <si>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</si>
  <si>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</si>
  <si>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</si>
  <si>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</si>
  <si>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</si>
  <si>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</si>
  <si>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</si>
  <si>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</si>
  <si>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</si>
  <si>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</si>
  <si>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</si>
  <si>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</si>
  <si>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</si>
  <si>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</si>
  <si>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</si>
  <si>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</si>
  <si>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</si>
  <si>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</si>
  <si>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</si>
  <si>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</si>
  <si>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</si>
  <si>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</si>
  <si>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</si>
  <si>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</si>
  <si>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</si>
  <si>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</si>
  <si>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</si>
  <si>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</si>
  <si>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</si>
  <si>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</si>
  <si>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</si>
  <si>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</si>
  <si>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</si>
  <si>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</si>
  <si>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</si>
  <si>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</si>
  <si>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</si>
  <si>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</si>
  <si>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</si>
  <si>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</si>
  <si>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</si>
  <si>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</si>
  <si>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</si>
  <si>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</si>
  <si>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</si>
  <si>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</si>
  <si>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</si>
  <si>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</si>
  <si>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</si>
  <si>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</si>
  <si>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</si>
  <si>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</si>
  <si>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</si>
  <si>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</si>
  <si>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</si>
  <si>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</si>
  <si>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</si>
  <si>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</si>
  <si>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</si>
  <si>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</si>
  <si>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</si>
  <si>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</si>
  <si>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</si>
  <si>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</si>
  <si>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</si>
  <si>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</si>
  <si>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</si>
  <si>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</si>
  <si>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</si>
  <si>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</si>
  <si>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</si>
  <si>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</si>
  <si>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</si>
  <si>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</si>
  <si>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</si>
  <si>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</si>
  <si>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</si>
  <si>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</si>
  <si>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</si>
  <si>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</si>
  <si>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</si>
  <si>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</si>
  <si>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</si>
  <si>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</si>
  <si>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</si>
  <si>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</si>
  <si>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</si>
  <si>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</si>
  <si>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</si>
  <si>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</si>
  <si>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</si>
  <si>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</si>
  <si>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</si>
  <si>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</si>
  <si>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</si>
  <si>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</si>
  <si>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</si>
  <si>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</si>
  <si>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</si>
  <si>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</si>
  <si>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</si>
  <si>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</si>
  <si>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</si>
  <si>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</si>
  <si>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</si>
  <si>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</si>
  <si>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</si>
  <si>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</si>
  <si>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</si>
  <si>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</si>
  <si>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</si>
  <si>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</si>
  <si>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</si>
  <si>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</si>
  <si>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</si>
  <si>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</si>
  <si>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</si>
  <si>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</si>
  <si>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</si>
  <si>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</si>
  <si>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</si>
  <si>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</si>
  <si>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</si>
  <si>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</si>
  <si>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</si>
  <si>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</si>
  <si>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</si>
  <si>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</si>
  <si>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</si>
  <si>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</si>
  <si>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</si>
  <si>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</si>
  <si>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</si>
  <si>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</si>
  <si>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</si>
  <si>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</si>
  <si>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</si>
  <si>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</si>
  <si>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</si>
  <si>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</si>
  <si>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</si>
  <si>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</si>
  <si>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</si>
  <si>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</si>
  <si>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</si>
  <si>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</si>
  <si>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</si>
  <si>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</si>
  <si>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</si>
  <si>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</si>
  <si>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</si>
  <si>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</si>
  <si>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</si>
  <si>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</si>
  <si>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</si>
  <si>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</si>
  <si>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</si>
  <si>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</si>
  <si>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</si>
  <si>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</si>
  <si>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</si>
  <si>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</si>
  <si>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</si>
  <si>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</si>
  <si>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</si>
  <si>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</si>
  <si>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</si>
  <si>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</si>
  <si>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</si>
  <si>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</si>
  <si>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</si>
  <si>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</si>
  <si>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</si>
  <si>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</si>
  <si>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</si>
  <si>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</si>
  <si>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</si>
  <si>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</si>
  <si>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</si>
  <si>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</si>
  <si>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</si>
  <si>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</si>
  <si>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</si>
  <si>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</si>
  <si>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</si>
  <si>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</si>
  <si>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</si>
  <si>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</si>
  <si>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</si>
  <si>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</si>
  <si>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</si>
  <si>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</si>
  <si>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</si>
  <si>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</si>
  <si>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</si>
  <si>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</si>
  <si>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</si>
  <si>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</si>
  <si>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</si>
  <si>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</si>
  <si>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</si>
  <si>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</si>
  <si>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</si>
  <si>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</si>
  <si>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</si>
  <si>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</si>
  <si>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</si>
  <si>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</si>
  <si>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</si>
  <si>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</si>
  <si>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</si>
  <si>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</si>
  <si>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</si>
  <si>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</si>
  <si>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</si>
  <si>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</si>
  <si>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</si>
  <si>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</si>
  <si>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</si>
  <si>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</si>
  <si>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</si>
  <si>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</si>
  <si>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</si>
  <si>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</si>
  <si>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</si>
  <si>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</si>
  <si>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</si>
  <si>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</si>
  <si>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</si>
  <si>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</si>
  <si>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</si>
  <si>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</si>
  <si>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</si>
  <si>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</si>
  <si>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</si>
  <si>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</si>
  <si>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</si>
  <si>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</si>
  <si>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</si>
  <si>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</si>
  <si>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</si>
  <si>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</si>
  <si>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</si>
  <si>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</si>
  <si>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</si>
  <si>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</si>
  <si>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</si>
  <si>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</si>
  <si>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</si>
  <si>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</si>
  <si>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</si>
  <si>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</si>
  <si>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</si>
  <si>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</si>
  <si>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</si>
  <si>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</si>
  <si>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</si>
  <si>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</si>
  <si>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</si>
  <si>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</si>
  <si>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</si>
  <si>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</si>
  <si>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</si>
  <si>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</si>
  <si>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</si>
  <si>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</si>
  <si>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</si>
  <si>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</si>
  <si>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</si>
  <si>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</si>
  <si>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</si>
  <si>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</si>
  <si>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</si>
  <si>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</si>
  <si>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</si>
  <si>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</si>
  <si>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</si>
  <si>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</si>
  <si>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</si>
  <si>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</si>
  <si>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</si>
  <si>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</si>
  <si>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</si>
  <si>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</si>
  <si>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</si>
  <si>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</si>
  <si>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</si>
  <si>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</si>
  <si>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</si>
  <si>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</si>
  <si>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</si>
  <si>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</si>
  <si>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</si>
  <si>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</si>
  <si>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</si>
  <si>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</si>
  <si>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</si>
  <si>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</si>
  <si>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</si>
  <si>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</si>
  <si>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</si>
  <si>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</si>
  <si>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</si>
  <si>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</si>
  <si>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</si>
  <si>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</si>
  <si>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</si>
  <si>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</si>
  <si>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</si>
  <si>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</si>
  <si>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</si>
  <si>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</si>
  <si>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</si>
  <si>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</si>
  <si>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</si>
  <si>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</si>
  <si>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</si>
  <si>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</si>
  <si>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</si>
  <si>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</si>
  <si>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</si>
  <si>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</si>
  <si>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</si>
  <si>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</si>
  <si>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</si>
  <si>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</si>
  <si>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</si>
  <si>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</si>
  <si>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</si>
  <si>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</si>
  <si>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</si>
  <si>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</si>
  <si>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</si>
  <si>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</si>
  <si>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</si>
  <si>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</si>
  <si>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</si>
  <si>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</si>
  <si>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</si>
  <si>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</si>
  <si>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</si>
  <si>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</si>
  <si>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</si>
  <si>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</si>
  <si>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</si>
  <si>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</si>
  <si>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</si>
  <si>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</si>
  <si>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</si>
  <si>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</si>
  <si>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</si>
  <si>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</si>
  <si>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</si>
  <si>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</si>
  <si>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</si>
  <si>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</si>
  <si>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</si>
  <si>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</si>
  <si>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</si>
  <si>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</si>
  <si>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</si>
  <si>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</si>
  <si>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</si>
  <si>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</si>
  <si>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</si>
  <si>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</si>
  <si>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</si>
  <si>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</si>
  <si>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</si>
  <si>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</si>
  <si>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</si>
  <si>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</si>
  <si>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</si>
  <si>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</si>
  <si>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</si>
  <si>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</si>
  <si>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</si>
  <si>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</si>
  <si>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</si>
  <si>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</si>
  <si>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</si>
  <si>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</si>
  <si>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</si>
  <si>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</si>
  <si>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</si>
  <si>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</si>
  <si>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</si>
  <si>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</si>
  <si>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</si>
  <si>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</si>
  <si>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</si>
  <si>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</si>
  <si>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</si>
  <si>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</si>
  <si>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</si>
  <si>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</si>
  <si>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</si>
  <si>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</si>
  <si>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</si>
  <si>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</si>
  <si>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</si>
  <si>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</si>
  <si>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</si>
  <si>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</si>
  <si>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</si>
  <si>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</si>
  <si>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</si>
  <si>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</si>
  <si>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</si>
  <si>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</si>
  <si>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</si>
  <si>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</si>
  <si>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</si>
  <si>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</si>
  <si>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</si>
  <si>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</si>
  <si>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</si>
  <si>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</si>
  <si>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</si>
  <si>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</si>
  <si>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</si>
  <si>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</si>
  <si>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</si>
  <si>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</si>
  <si>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</si>
  <si>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</si>
  <si>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</si>
  <si>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</si>
  <si>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</si>
  <si>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</si>
  <si>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</si>
  <si>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</si>
  <si>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</si>
  <si>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</si>
  <si>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</si>
  <si>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</si>
  <si>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</si>
  <si>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</si>
  <si>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</si>
  <si>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</si>
  <si>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</si>
  <si>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</si>
  <si>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</si>
  <si>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</si>
  <si>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</si>
  <si>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</si>
  <si>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</si>
  <si>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</si>
  <si>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</si>
  <si>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</si>
  <si>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</si>
  <si>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</si>
  <si>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</si>
  <si>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</si>
  <si>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</si>
  <si>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</si>
  <si>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</si>
  <si>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</si>
  <si>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</si>
  <si>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</si>
  <si>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</si>
  <si>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</si>
  <si>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</si>
  <si>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</si>
  <si>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</si>
  <si>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</si>
  <si>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</si>
  <si>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</si>
  <si>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</si>
  <si>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</si>
  <si>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</si>
  <si>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</si>
  <si>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</si>
  <si>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</si>
  <si>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</si>
  <si>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</si>
  <si>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</si>
  <si>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</si>
  <si>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</si>
  <si>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</si>
  <si>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</si>
  <si>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</si>
  <si>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</si>
  <si>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</si>
  <si>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</si>
  <si>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</si>
  <si>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</si>
  <si>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</si>
  <si>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</si>
  <si>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</si>
  <si>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</si>
  <si>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</si>
  <si>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</si>
  <si>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</si>
  <si>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</si>
  <si>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</si>
  <si>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</si>
  <si>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</si>
  <si>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</si>
  <si>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</si>
  <si>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</si>
  <si>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</si>
  <si>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</si>
  <si>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</si>
  <si>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</si>
  <si>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</si>
  <si>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</si>
  <si>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</si>
  <si>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</si>
  <si>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</si>
  <si>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</si>
  <si>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</si>
  <si>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</si>
  <si>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</si>
  <si>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</si>
  <si>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</si>
  <si>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</si>
  <si>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</si>
  <si>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</si>
  <si>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</si>
  <si>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</si>
  <si>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</si>
  <si>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</si>
  <si>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</si>
  <si>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</si>
  <si>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</si>
  <si>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</si>
  <si>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</si>
  <si>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</si>
  <si>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</si>
  <si>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</si>
  <si>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</si>
  <si>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</si>
  <si>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</si>
  <si>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</si>
  <si>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</si>
  <si>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</si>
  <si>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</si>
  <si>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</si>
  <si>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</si>
  <si>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</si>
  <si>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</si>
  <si>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</si>
  <si>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</si>
  <si>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</si>
  <si>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</si>
  <si>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</si>
  <si>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</si>
  <si>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</si>
  <si>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</si>
  <si>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</si>
  <si>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</si>
  <si>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</si>
  <si>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</si>
  <si>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</si>
  <si>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</si>
  <si>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</si>
  <si>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</si>
  <si>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</si>
  <si>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</si>
  <si>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</si>
  <si>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</si>
  <si>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</si>
  <si>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</si>
  <si>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</si>
  <si>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</si>
  <si>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</si>
  <si>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</si>
  <si>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</si>
  <si>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</si>
  <si>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</si>
  <si>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</si>
  <si>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</si>
  <si>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</si>
  <si>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</si>
  <si>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</si>
  <si>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</si>
  <si>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</si>
  <si>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</si>
  <si>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</si>
  <si>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</si>
  <si>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</si>
  <si>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</si>
  <si>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</si>
  <si>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</si>
  <si>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</si>
  <si>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</si>
  <si>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</si>
  <si>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</si>
  <si>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</si>
  <si>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</si>
  <si>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</si>
  <si>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</si>
  <si>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</si>
  <si>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</si>
  <si>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</si>
  <si>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</si>
  <si>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</si>
  <si>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</si>
  <si>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</si>
  <si>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</si>
  <si>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</si>
  <si>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</si>
  <si>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</si>
  <si>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</si>
  <si>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</si>
  <si>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</si>
  <si>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</si>
  <si>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</si>
  <si>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</si>
  <si>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</si>
  <si>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</si>
  <si>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</si>
  <si>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</si>
  <si>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</si>
  <si>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</si>
  <si>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</si>
  <si>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</si>
  <si>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</si>
  <si>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</si>
  <si>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</si>
  <si>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</si>
  <si>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</si>
  <si>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</si>
  <si>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</si>
  <si>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</si>
  <si>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</si>
  <si>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</si>
  <si>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</si>
  <si>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</si>
  <si>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</si>
  <si>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</si>
  <si>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</si>
  <si>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</si>
  <si>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</si>
  <si>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</si>
  <si>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</si>
  <si>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</si>
  <si>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</si>
  <si>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</si>
  <si>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</si>
  <si>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</si>
  <si>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</si>
  <si>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</si>
  <si>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</si>
  <si>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</si>
  <si>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</si>
  <si>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</si>
  <si>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</si>
  <si>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</si>
  <si>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</si>
  <si>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</si>
  <si>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</si>
  <si>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</si>
  <si>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</si>
  <si>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</si>
  <si>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</si>
  <si>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</si>
  <si>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</si>
  <si>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</si>
  <si>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</si>
  <si>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</si>
  <si>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</si>
  <si>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</si>
  <si>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</si>
  <si>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</si>
  <si>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</si>
  <si>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</si>
  <si>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</si>
  <si>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</si>
  <si>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</si>
  <si>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</si>
  <si>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</si>
  <si>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</si>
  <si>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</si>
  <si>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</si>
  <si>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</si>
  <si>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</si>
  <si>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</si>
  <si>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</si>
  <si>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</si>
  <si>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</si>
  <si>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</si>
  <si>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</si>
  <si>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</si>
  <si>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</si>
  <si>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</si>
  <si>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</si>
  <si>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</si>
  <si>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</si>
  <si>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</si>
  <si>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</si>
  <si>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</si>
  <si>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</si>
  <si>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</si>
  <si>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</si>
  <si>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</si>
  <si>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</si>
  <si>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</si>
  <si>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</si>
  <si>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</si>
  <si>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</si>
  <si>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</si>
  <si>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</si>
  <si>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</si>
  <si>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</si>
  <si>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</si>
  <si>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</si>
  <si>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</si>
  <si>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</si>
  <si>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</si>
  <si>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</si>
  <si>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</si>
  <si>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</si>
  <si>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</si>
  <si>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</si>
  <si>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</si>
  <si>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</si>
  <si>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</si>
  <si>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</si>
  <si>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</si>
  <si>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</si>
  <si>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</si>
  <si>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</si>
  <si>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</si>
  <si>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</si>
  <si>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</si>
  <si>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</si>
  <si>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</si>
  <si>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</si>
  <si>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</si>
  <si>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</si>
  <si>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</si>
  <si>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</si>
  <si>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</si>
  <si>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</si>
  <si>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</si>
  <si>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</si>
  <si>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</si>
  <si>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</si>
  <si>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</si>
  <si>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</si>
  <si>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</si>
  <si>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</si>
  <si>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</si>
  <si>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</si>
  <si>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</si>
  <si>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</si>
  <si>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</si>
  <si>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</si>
  <si>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</si>
  <si>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</si>
  <si>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</si>
  <si>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</si>
  <si>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</si>
  <si>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</si>
  <si>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</si>
  <si>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</si>
  <si>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</si>
  <si>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</si>
  <si>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</si>
  <si>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</si>
  <si>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</si>
  <si>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</si>
  <si>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</si>
  <si>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</si>
  <si>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</si>
  <si>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</si>
  <si>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</si>
  <si>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</si>
  <si>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</si>
  <si>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</si>
  <si>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</si>
  <si>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</si>
  <si>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</si>
  <si>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</si>
  <si>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</si>
  <si>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</si>
  <si>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</si>
  <si>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</si>
  <si>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</si>
  <si>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</si>
  <si>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</si>
  <si>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</si>
  <si>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</si>
  <si>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</si>
  <si>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</si>
  <si>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</si>
  <si>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</si>
  <si>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</si>
  <si>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</si>
  <si>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</si>
  <si>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</si>
  <si>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</si>
  <si>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</si>
  <si>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</si>
  <si>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</si>
  <si>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</si>
  <si>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</si>
  <si>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</si>
  <si>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</si>
  <si>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</si>
  <si>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</si>
  <si>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</si>
  <si>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</si>
  <si>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</si>
  <si>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</si>
  <si>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</si>
  <si>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</si>
  <si>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</si>
  <si>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</si>
  <si>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</si>
  <si>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</si>
  <si>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</si>
  <si>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</si>
  <si>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</si>
  <si>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</si>
  <si>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</si>
  <si>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</si>
  <si>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</si>
  <si>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</si>
  <si>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</si>
  <si>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</si>
  <si>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</si>
  <si>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</si>
  <si>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</si>
  <si>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</si>
  <si>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</si>
  <si>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</si>
  <si>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</si>
  <si>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</si>
  <si>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</si>
  <si>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</si>
  <si>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</si>
  <si>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</si>
  <si>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</si>
  <si>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</si>
  <si>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</si>
  <si>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</si>
  <si>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</si>
  <si>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</si>
  <si>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</si>
  <si>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</si>
  <si>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</si>
  <si>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</si>
  <si>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</si>
  <si>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</si>
  <si>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</si>
  <si>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</si>
  <si>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</si>
  <si>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</si>
  <si>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</si>
  <si>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</si>
  <si>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</si>
  <si>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</si>
  <si>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</si>
  <si>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</si>
  <si>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</si>
  <si>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</si>
  <si>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</si>
  <si>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</si>
  <si>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</si>
  <si>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</si>
  <si>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</si>
  <si>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</si>
  <si>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</si>
  <si>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</si>
  <si>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</si>
  <si>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</si>
  <si>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</si>
  <si>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</si>
  <si>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</si>
  <si>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</si>
  <si>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</si>
  <si>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</si>
  <si>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</si>
  <si>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</si>
  <si>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</si>
  <si>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</si>
  <si>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</si>
  <si>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</si>
  <si>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</si>
  <si>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</si>
  <si>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</si>
  <si>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</si>
  <si>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</si>
  <si>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</si>
  <si>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</si>
  <si>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</si>
  <si>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</si>
  <si>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</si>
  <si>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</si>
  <si>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</si>
  <si>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</si>
  <si>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</si>
  <si>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</si>
  <si>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</si>
  <si>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</si>
  <si>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</si>
  <si>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</si>
  <si>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</si>
  <si>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</si>
  <si>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</si>
  <si>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</si>
  <si>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</si>
  <si>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</si>
  <si>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</si>
  <si>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</si>
  <si>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</si>
  <si>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</si>
  <si>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</si>
  <si>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</si>
  <si>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</si>
  <si>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</si>
  <si>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</si>
  <si>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</si>
  <si>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</si>
  <si>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</si>
  <si>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</si>
  <si>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</si>
  <si>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</si>
  <si>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</si>
  <si>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</si>
  <si>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</si>
  <si>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</si>
  <si>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</si>
  <si>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</si>
  <si>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</si>
  <si>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</si>
  <si>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</si>
  <si>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</si>
  <si>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</si>
  <si>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</si>
  <si>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</si>
  <si>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</si>
  <si>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</si>
  <si>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</si>
  <si>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</si>
  <si>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</si>
  <si>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</si>
  <si>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</si>
  <si>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</si>
  <si>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</si>
  <si>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</si>
  <si>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</si>
  <si>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</si>
  <si>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</si>
  <si>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</si>
  <si>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</si>
  <si>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</si>
  <si>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</si>
  <si>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</si>
  <si>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</si>
  <si>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</si>
  <si>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</si>
  <si>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</si>
  <si>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</si>
  <si>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</si>
  <si>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</si>
  <si>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</si>
  <si>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</si>
  <si>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</si>
  <si>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</si>
  <si>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</si>
  <si>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</si>
  <si>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</si>
  <si>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</si>
  <si>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</si>
  <si>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</si>
  <si>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</si>
  <si>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</si>
  <si>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</si>
  <si>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</si>
  <si>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</si>
  <si>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</si>
  <si>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</si>
  <si>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</si>
  <si>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</si>
  <si>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</si>
  <si>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</si>
  <si>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</si>
  <si>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</si>
  <si>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</si>
  <si>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</si>
  <si>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</si>
  <si>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</si>
  <si>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</si>
  <si>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</si>
  <si>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</si>
  <si>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</si>
  <si>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</si>
  <si>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</si>
  <si>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</si>
  <si>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</si>
  <si>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</si>
  <si>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</si>
  <si>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</si>
  <si>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</si>
  <si>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</si>
  <si>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</si>
  <si>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</si>
  <si>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</si>
  <si>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</si>
  <si>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</si>
  <si>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</si>
  <si>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</si>
  <si>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</si>
  <si>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</si>
  <si>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</si>
  <si>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</si>
  <si>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</si>
  <si>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</si>
  <si>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</si>
  <si>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</si>
  <si>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</si>
  <si>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</si>
  <si>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</si>
  <si>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</si>
  <si>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</si>
  <si>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</si>
  <si>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</si>
  <si>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</si>
  <si>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</si>
  <si>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</si>
  <si>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</si>
  <si>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</si>
  <si>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</si>
  <si>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</si>
  <si>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</si>
  <si>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</si>
  <si>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</si>
  <si>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</si>
  <si>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</si>
  <si>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</si>
  <si>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</si>
  <si>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</si>
  <si>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</si>
  <si>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</si>
  <si>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</si>
  <si>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</si>
  <si>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</si>
  <si>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</si>
  <si>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</si>
  <si>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</si>
  <si>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</si>
  <si>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</si>
  <si>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</si>
  <si>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</si>
  <si>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</si>
  <si>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</si>
  <si>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</si>
  <si>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</si>
  <si>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</si>
  <si>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</si>
  <si>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</si>
  <si>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</si>
  <si>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</si>
  <si>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</si>
  <si>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</si>
  <si>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</si>
  <si>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</si>
  <si>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</si>
  <si>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</si>
  <si>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</si>
  <si>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</si>
  <si>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</si>
  <si>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</si>
  <si>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</si>
  <si>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</si>
  <si>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</si>
  <si>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</si>
  <si>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</si>
  <si>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</si>
  <si>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</si>
  <si>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</si>
  <si>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</si>
  <si>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</si>
  <si>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</si>
  <si>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</si>
  <si>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</si>
  <si>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</si>
  <si>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</si>
  <si>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</si>
  <si>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</si>
  <si>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</si>
  <si>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</si>
  <si>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</si>
  <si>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</si>
  <si>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</si>
  <si>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</si>
  <si>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</si>
  <si>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</si>
  <si>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</si>
  <si>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</si>
  <si>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</si>
  <si>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</si>
  <si>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</si>
  <si>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</si>
  <si>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</si>
  <si>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</si>
  <si>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</si>
  <si>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</si>
  <si>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</si>
  <si>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</si>
  <si>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</si>
  <si>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</si>
  <si>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</si>
  <si>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</si>
  <si>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</si>
  <si>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</si>
  <si>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</si>
  <si>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</si>
  <si>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</si>
  <si>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</si>
  <si>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</si>
  <si>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</si>
  <si>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</si>
  <si>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</si>
  <si>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</si>
  <si>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</si>
  <si>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</si>
  <si>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</si>
  <si>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</si>
  <si>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</si>
  <si>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</si>
  <si>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</si>
  <si>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</si>
  <si>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</si>
  <si>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</si>
  <si>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</si>
  <si>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</si>
  <si>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</si>
  <si>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</si>
  <si>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</si>
  <si>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</si>
  <si>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</si>
  <si>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</si>
  <si>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</si>
  <si>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</si>
  <si>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</si>
  <si>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</si>
  <si>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</si>
  <si>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</si>
  <si>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</si>
  <si>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</si>
  <si>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</si>
  <si>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</si>
  <si>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</si>
  <si>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</si>
  <si>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</si>
  <si>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</si>
  <si>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</si>
  <si>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</si>
  <si>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</si>
  <si>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</si>
  <si>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</si>
  <si>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</si>
  <si>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</si>
  <si>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</si>
  <si>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</si>
  <si>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</si>
  <si>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</si>
  <si>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</si>
  <si>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</si>
  <si>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</si>
  <si>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</si>
  <si>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</si>
  <si>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</si>
  <si>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</si>
  <si>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</si>
  <si>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</si>
  <si>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</si>
  <si>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</si>
  <si>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</si>
  <si>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</si>
  <si>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</si>
  <si>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</si>
  <si>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</si>
  <si>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</si>
  <si>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</si>
  <si>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</si>
  <si>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</si>
  <si>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</si>
  <si>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</si>
  <si>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</si>
  <si>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</si>
  <si>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</si>
  <si>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</si>
  <si>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</si>
  <si>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</si>
  <si>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</si>
  <si>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</si>
  <si>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</si>
  <si>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</si>
  <si>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</si>
  <si>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</si>
  <si>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</si>
  <si>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</si>
  <si>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</si>
  <si>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</si>
  <si>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</si>
  <si>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</si>
  <si>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</si>
  <si>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</si>
  <si>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</si>
  <si>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</si>
  <si>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</si>
  <si>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</si>
  <si>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</si>
  <si>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</si>
  <si>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</si>
  <si>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</si>
  <si>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</si>
  <si>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</si>
  <si>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</si>
  <si>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</si>
  <si>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</si>
  <si>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</si>
  <si>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</si>
  <si>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</si>
  <si>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</si>
  <si>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</si>
  <si>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</si>
  <si>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</si>
  <si>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</si>
  <si>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</si>
  <si>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</si>
  <si>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</si>
  <si>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</si>
  <si>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</si>
  <si>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</si>
  <si>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</si>
  <si>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</si>
  <si>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</si>
  <si>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</si>
  <si>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</si>
  <si>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</si>
  <si>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</si>
  <si>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</si>
  <si>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</si>
  <si>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</si>
  <si>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</si>
  <si>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</si>
  <si>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</si>
  <si>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</si>
  <si>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</si>
  <si>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</si>
  <si>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</si>
  <si>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</si>
  <si>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</si>
  <si>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</si>
  <si>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</si>
  <si>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</si>
  <si>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</si>
  <si>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</si>
  <si>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</si>
  <si>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</si>
  <si>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</si>
  <si>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</si>
  <si>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</si>
  <si>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</si>
  <si>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</si>
  <si>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</si>
  <si>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</si>
  <si>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</si>
  <si>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</si>
  <si>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</si>
  <si>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</si>
  <si>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</si>
  <si>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</si>
  <si>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</si>
  <si>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</si>
  <si>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</si>
  <si>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</si>
  <si>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</si>
  <si>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</si>
  <si>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</si>
  <si>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</si>
  <si>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</si>
  <si>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</si>
  <si>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</si>
  <si>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</si>
  <si>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</si>
  <si>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</si>
  <si>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</si>
  <si>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</si>
  <si>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</si>
  <si>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</si>
  <si>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</si>
  <si>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</si>
  <si>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</si>
  <si>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</si>
  <si>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</si>
  <si>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</si>
  <si>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</si>
  <si>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</si>
  <si>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</si>
  <si>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</si>
  <si>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</si>
  <si>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</si>
  <si>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</si>
  <si>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</si>
  <si>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</si>
  <si>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</si>
  <si>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</si>
  <si>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</si>
  <si>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</si>
  <si>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</si>
  <si>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</si>
  <si>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</si>
  <si>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</si>
  <si>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</si>
  <si>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</si>
  <si>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</si>
  <si>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</si>
  <si>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</si>
  <si>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</si>
  <si>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</si>
  <si>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</si>
  <si>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</si>
  <si>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</si>
  <si>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</si>
  <si>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</si>
  <si>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</si>
  <si>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</si>
  <si>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</si>
  <si>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</si>
  <si>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</si>
  <si>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</si>
  <si>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</si>
  <si>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</si>
  <si>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</si>
  <si>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</si>
  <si>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</si>
  <si>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</si>
  <si>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</si>
  <si>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</si>
  <si>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</si>
  <si>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</si>
  <si>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</si>
  <si>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</si>
  <si>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</si>
  <si>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</si>
  <si>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</si>
  <si>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</si>
  <si>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</si>
  <si>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</si>
  <si>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</si>
  <si>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</si>
  <si>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</si>
  <si>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</si>
  <si>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</si>
  <si>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</si>
  <si>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</si>
  <si>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</si>
  <si>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</si>
  <si>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</si>
  <si>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</si>
  <si>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</si>
  <si>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</si>
  <si>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</si>
  <si>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</si>
  <si>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</si>
  <si>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</si>
  <si>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</si>
  <si>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</si>
  <si>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</si>
  <si>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</si>
  <si>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</si>
  <si>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</si>
  <si>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</si>
  <si>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</si>
  <si>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</si>
  <si>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</si>
  <si>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</si>
  <si>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</si>
  <si>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</si>
  <si>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</si>
  <si>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</si>
  <si>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</si>
  <si>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</si>
  <si>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</si>
  <si>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</si>
  <si>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</si>
  <si>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</si>
  <si>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</si>
  <si>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</si>
  <si>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</si>
  <si>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</si>
  <si>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</si>
  <si>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</si>
  <si>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</si>
  <si>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</si>
  <si>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</si>
  <si>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</si>
  <si>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</si>
  <si>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</si>
  <si>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</si>
  <si>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</si>
  <si>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</si>
  <si>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</si>
  <si>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</si>
  <si>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</si>
  <si>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</si>
  <si>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</si>
  <si>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</si>
  <si>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</si>
  <si>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</si>
  <si>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</si>
  <si>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</si>
  <si>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</si>
  <si>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</si>
  <si>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</si>
  <si>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</si>
  <si>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</si>
  <si>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</si>
  <si>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</si>
  <si>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</si>
  <si>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</si>
  <si>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</si>
  <si>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</si>
  <si>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</si>
  <si>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</si>
  <si>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</si>
  <si>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</si>
  <si>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</si>
  <si>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</si>
  <si>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</si>
  <si>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</si>
  <si>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</si>
  <si>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</si>
  <si>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</si>
  <si>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</si>
  <si>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</si>
  <si>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</si>
  <si>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</si>
  <si>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</si>
  <si>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</si>
  <si>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</si>
  <si>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</si>
  <si>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</si>
  <si>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</si>
  <si>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</si>
  <si>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</si>
  <si>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</si>
  <si>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</si>
  <si>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</si>
  <si>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</si>
  <si>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</si>
  <si>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</si>
  <si>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</si>
  <si>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</si>
  <si>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</si>
  <si>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</si>
  <si>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</si>
  <si>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</si>
  <si>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</si>
  <si>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</si>
  <si>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</si>
  <si>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</si>
  <si>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</si>
  <si>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</si>
  <si>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</si>
  <si>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</si>
  <si>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</si>
  <si>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</si>
  <si>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</si>
  <si>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</si>
  <si>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</si>
  <si>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</si>
  <si>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</si>
  <si>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</si>
  <si>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</si>
  <si>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</si>
  <si>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</si>
  <si>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</si>
  <si>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</si>
  <si>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</si>
  <si>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</si>
  <si>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</si>
  <si>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</si>
  <si>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</si>
  <si>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</si>
  <si>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</si>
  <si>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</si>
  <si>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</si>
  <si>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</si>
  <si>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</si>
  <si>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</si>
  <si>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</si>
  <si>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</si>
  <si>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</si>
  <si>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</si>
  <si>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</si>
  <si>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</si>
  <si>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</si>
  <si>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</si>
  <si>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</si>
  <si>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</si>
  <si>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</si>
  <si>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</si>
  <si>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</si>
  <si>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</si>
  <si>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</si>
  <si>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</si>
  <si>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</si>
  <si>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</si>
  <si>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</si>
  <si>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</si>
  <si>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</si>
  <si>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</si>
  <si>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</si>
  <si>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</si>
  <si>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</si>
  <si>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</si>
  <si>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</si>
  <si>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</si>
  <si>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</si>
  <si>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</si>
  <si>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</si>
  <si>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</si>
  <si>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</si>
  <si>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</si>
  <si>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</si>
  <si>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</si>
  <si>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</si>
  <si>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</si>
  <si>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</si>
  <si>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</si>
  <si>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</si>
  <si>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</si>
  <si>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</si>
  <si>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</si>
  <si>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</si>
  <si>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</si>
  <si>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</si>
  <si>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</si>
  <si>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</si>
  <si>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</si>
  <si>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</si>
  <si>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</si>
  <si>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</si>
  <si>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</si>
  <si>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</si>
  <si>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</si>
  <si>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</si>
  <si>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</si>
  <si>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</si>
  <si>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</si>
  <si>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</si>
  <si>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</si>
  <si>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</si>
  <si>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</si>
  <si>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</si>
  <si>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</si>
  <si>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</si>
  <si>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</si>
  <si>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</si>
  <si>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</si>
  <si>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</si>
  <si>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</si>
  <si>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</si>
  <si>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</si>
  <si>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</si>
  <si>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</si>
  <si>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</si>
  <si>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</si>
  <si>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</si>
  <si>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</si>
  <si>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</si>
  <si>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</si>
  <si>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</si>
  <si>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</si>
  <si>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</si>
  <si>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</si>
  <si>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</si>
  <si>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</si>
  <si>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</si>
  <si>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</si>
  <si>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</si>
  <si>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</si>
  <si>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</si>
  <si>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</si>
  <si>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</si>
  <si>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</si>
  <si>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</si>
  <si>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</si>
  <si>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</si>
  <si>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</si>
  <si>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</si>
  <si>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</si>
  <si>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</si>
  <si>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</si>
  <si>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</si>
  <si>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</si>
  <si>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</si>
  <si>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</si>
  <si>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</si>
  <si>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</si>
  <si>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</si>
  <si>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</si>
  <si>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</si>
  <si>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</si>
  <si>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</si>
  <si>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</si>
  <si>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</si>
  <si>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</si>
  <si>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</si>
  <si>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</si>
  <si>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</si>
  <si>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</si>
  <si>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</si>
  <si>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</si>
  <si>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</si>
  <si>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</si>
  <si>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</si>
  <si>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</si>
  <si>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</si>
  <si>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</si>
  <si>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</si>
  <si>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</si>
  <si>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</si>
  <si>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</si>
  <si>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</si>
  <si>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</si>
  <si>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</si>
  <si>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</si>
  <si>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</si>
  <si>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</si>
  <si>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</si>
  <si>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</si>
  <si>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</si>
  <si>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</si>
  <si>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</si>
  <si>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</si>
  <si>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</si>
  <si>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</si>
  <si>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</si>
  <si>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</si>
  <si>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</si>
  <si>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</si>
  <si>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</si>
  <si>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</si>
  <si>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</si>
  <si>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</si>
  <si>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</si>
  <si>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</si>
  <si>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</si>
  <si>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</si>
  <si>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</si>
  <si>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</si>
  <si>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</si>
  <si>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</si>
  <si>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</si>
  <si>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</si>
  <si>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</si>
  <si>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</si>
  <si>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</si>
  <si>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</si>
  <si>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</si>
  <si>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</si>
  <si>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</si>
  <si>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</si>
  <si>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</si>
  <si>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</si>
  <si>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</si>
  <si>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</si>
  <si>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</si>
  <si>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</si>
  <si>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</si>
  <si>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</si>
  <si>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</si>
  <si>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</si>
  <si>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</si>
  <si>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</si>
  <si>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</si>
  <si>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</si>
  <si>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</si>
  <si>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</si>
  <si>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</si>
  <si>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</si>
  <si>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</si>
  <si>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</si>
  <si>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</si>
  <si>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</si>
  <si>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</si>
  <si>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</si>
  <si>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</si>
  <si>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</si>
  <si>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</si>
  <si>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</si>
  <si>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</si>
  <si>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</si>
  <si>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</si>
  <si>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</si>
  <si>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</si>
  <si>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</si>
  <si>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</si>
  <si>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</si>
  <si>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</si>
  <si>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</si>
  <si>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</si>
  <si>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</si>
  <si>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</si>
  <si>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</si>
  <si>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</si>
  <si>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</si>
  <si>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</si>
  <si>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</si>
  <si>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</si>
  <si>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</si>
  <si>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</si>
  <si>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</si>
  <si>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</si>
  <si>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</si>
  <si>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</si>
  <si>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</si>
  <si>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</si>
  <si>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</si>
  <si>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</si>
  <si>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</si>
  <si>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</si>
  <si>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</si>
  <si>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</si>
  <si>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</si>
  <si>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</si>
  <si>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</si>
  <si>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</si>
  <si>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</si>
  <si>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</si>
  <si>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</si>
  <si>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</si>
  <si>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</si>
  <si>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</si>
  <si>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</si>
  <si>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</si>
  <si>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</si>
  <si>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</si>
  <si>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</si>
  <si>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</si>
  <si>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</si>
  <si>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</si>
  <si>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</si>
  <si>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</si>
  <si>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</si>
  <si>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</si>
  <si>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</si>
  <si>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</si>
  <si>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</si>
  <si>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</si>
  <si>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</si>
  <si>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</si>
  <si>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</si>
  <si>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</si>
  <si>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</si>
  <si>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</si>
  <si>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</si>
  <si>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</si>
  <si>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</si>
  <si>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</si>
  <si>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</si>
  <si>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</si>
  <si>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</si>
  <si>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</si>
  <si>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</si>
  <si>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</si>
  <si>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</si>
  <si>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</si>
  <si>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</si>
  <si>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</si>
  <si>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</si>
  <si>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</si>
  <si>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</si>
  <si>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</si>
  <si>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</si>
  <si>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</si>
  <si>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</si>
  <si>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</si>
  <si>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</si>
  <si>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</si>
  <si>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</si>
  <si>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</si>
  <si>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</si>
  <si>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</si>
  <si>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</si>
  <si>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</si>
  <si>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</si>
  <si>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</si>
  <si>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</si>
  <si>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</si>
  <si>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</si>
  <si>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</si>
  <si>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</si>
  <si>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</si>
  <si>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</si>
  <si>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</si>
  <si>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</si>
  <si>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</si>
  <si>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</si>
  <si>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</si>
  <si>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</si>
  <si>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</si>
  <si>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</si>
  <si>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</si>
  <si>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</si>
  <si>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</si>
  <si>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</si>
  <si>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</si>
  <si>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</si>
  <si>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</si>
  <si>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</si>
  <si>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</si>
  <si>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</si>
  <si>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</si>
  <si>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</si>
  <si>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</si>
  <si>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</si>
  <si>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</si>
  <si>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</si>
  <si>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</si>
  <si>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</si>
  <si>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</si>
  <si>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</si>
  <si>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</si>
  <si>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</si>
  <si>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</si>
  <si>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</si>
  <si>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</si>
  <si>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</si>
  <si>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</si>
  <si>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</si>
  <si>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</si>
  <si>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</si>
  <si>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</si>
  <si>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</si>
  <si>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</si>
  <si>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</si>
  <si>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</si>
  <si>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</si>
  <si>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</si>
  <si>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</si>
  <si>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</si>
  <si>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</si>
  <si>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</si>
  <si>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</si>
  <si>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</si>
  <si>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</si>
  <si>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</si>
  <si>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</si>
  <si>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</si>
  <si>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</si>
  <si>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</si>
  <si>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</si>
  <si>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</si>
  <si>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</si>
  <si>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</si>
  <si>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</si>
  <si>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</si>
  <si>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</si>
  <si>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</si>
  <si>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</si>
  <si>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</si>
  <si>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</si>
  <si>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</si>
  <si>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</si>
  <si>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</si>
  <si>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</si>
  <si>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</si>
  <si>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</si>
  <si>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</si>
  <si>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</si>
  <si>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</si>
  <si>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</si>
  <si>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</si>
  <si>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</si>
  <si>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</si>
  <si>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</si>
  <si>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</si>
  <si>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</si>
  <si>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</si>
  <si>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</si>
  <si>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</si>
  <si>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</si>
  <si>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</si>
  <si>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</si>
  <si>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</si>
  <si>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</si>
  <si>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</si>
  <si>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</si>
  <si>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</si>
  <si>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</si>
  <si>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</si>
  <si>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</si>
  <si>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</si>
  <si>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</si>
  <si>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</si>
  <si>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</si>
  <si>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</si>
  <si>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</si>
  <si>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</si>
  <si>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</si>
  <si>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</si>
  <si>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</si>
  <si>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</si>
  <si>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</si>
  <si>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</si>
  <si>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</si>
  <si>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</si>
  <si>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</si>
  <si>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</si>
  <si>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</si>
  <si>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</si>
  <si>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</si>
  <si>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</si>
  <si>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</si>
  <si>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</si>
  <si>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</si>
  <si>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</si>
  <si>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</si>
  <si>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</si>
  <si>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</si>
  <si>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</si>
  <si>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</si>
  <si>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</si>
  <si>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</si>
  <si>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</si>
  <si>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</si>
  <si>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</si>
  <si>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</si>
  <si>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</si>
  <si>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</si>
  <si>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</si>
  <si>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</si>
  <si>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</si>
  <si>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</si>
  <si>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</si>
  <si>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</si>
  <si>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</si>
  <si>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</si>
  <si>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</si>
  <si>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</si>
  <si>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</si>
  <si>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</si>
  <si>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</si>
  <si>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</si>
  <si>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</si>
  <si>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</si>
  <si>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</si>
  <si>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</si>
  <si>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</si>
  <si>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</si>
  <si>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</si>
  <si>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</si>
  <si>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</si>
  <si>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</si>
  <si>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</si>
  <si>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</si>
  <si>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</si>
  <si>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</si>
  <si>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</si>
  <si>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</si>
  <si>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</si>
  <si>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</si>
  <si>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</si>
  <si>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</si>
  <si>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</si>
  <si>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</si>
  <si>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</si>
  <si>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</si>
  <si>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</si>
  <si>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</si>
  <si>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</si>
  <si>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</si>
  <si>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</si>
  <si>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</si>
  <si>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</si>
  <si>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</si>
  <si>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</si>
  <si>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</si>
  <si>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</si>
  <si>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</si>
  <si>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</si>
  <si>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</si>
  <si>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</si>
  <si>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</si>
  <si>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</si>
  <si>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</si>
  <si>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</si>
  <si>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</si>
  <si>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</si>
  <si>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</si>
  <si>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</si>
  <si>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</si>
  <si>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</si>
  <si>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</si>
  <si>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</si>
  <si>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</si>
  <si>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</si>
  <si>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</si>
  <si>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</si>
  <si>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</si>
  <si>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</si>
  <si>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</si>
  <si>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</si>
  <si>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</si>
  <si>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</si>
  <si>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</si>
  <si>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</si>
  <si>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</si>
  <si>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</si>
  <si>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</si>
  <si>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</si>
  <si>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</si>
  <si>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</si>
  <si>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</si>
  <si>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</si>
  <si>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</si>
  <si>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</si>
  <si>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</si>
  <si>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</si>
  <si>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</si>
  <si>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</si>
  <si>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</si>
  <si>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</si>
  <si>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</si>
  <si>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</si>
  <si>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</si>
  <si>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</si>
  <si>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</si>
  <si>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</si>
  <si>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</si>
  <si>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</si>
  <si>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</si>
  <si>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</si>
  <si>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</si>
  <si>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</si>
  <si>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</si>
  <si>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</si>
  <si>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</si>
  <si>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</si>
  <si>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</si>
  <si>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</si>
  <si>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</si>
  <si>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</si>
  <si>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</si>
  <si>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</si>
  <si>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</si>
  <si>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</si>
  <si>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</si>
  <si>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</si>
  <si>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</si>
  <si>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</si>
  <si>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</si>
  <si>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</si>
  <si>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</si>
  <si>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</si>
  <si>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</si>
  <si>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</si>
  <si>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</si>
  <si>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</si>
  <si>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</si>
  <si>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</si>
  <si>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</si>
  <si>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</si>
  <si>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</si>
  <si>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</si>
  <si>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</si>
  <si>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</si>
  <si>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</si>
  <si>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</si>
  <si>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</si>
  <si>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</si>
  <si>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</si>
  <si>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</si>
  <si>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</si>
  <si>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</si>
  <si>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</si>
  <si>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</si>
  <si>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</si>
  <si>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</si>
  <si>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</si>
  <si>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</si>
  <si>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</si>
  <si>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</si>
  <si>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</si>
  <si>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</si>
  <si>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</si>
  <si>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</si>
  <si>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</si>
  <si>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</si>
  <si>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</si>
  <si>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</si>
  <si>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</si>
  <si>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</si>
  <si>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</si>
  <si>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</si>
  <si>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</si>
  <si>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</si>
  <si>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</si>
  <si>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</si>
  <si>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</si>
  <si>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</si>
  <si>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</si>
  <si>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</si>
  <si>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</si>
  <si>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</si>
  <si>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</si>
  <si>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</si>
  <si>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</si>
  <si>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</si>
  <si>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</si>
  <si>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</si>
  <si>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</si>
  <si>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</si>
  <si>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</si>
  <si>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</si>
  <si>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</si>
  <si>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</si>
  <si>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</si>
  <si>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</si>
  <si>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</si>
  <si>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</si>
  <si>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</si>
  <si>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</si>
  <si>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</si>
  <si>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</si>
  <si>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</si>
  <si>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</si>
  <si>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</si>
  <si>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</si>
  <si>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</si>
  <si>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</si>
  <si>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</si>
  <si>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</si>
  <si>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</si>
  <si>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</si>
  <si>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</si>
  <si>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</si>
  <si>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</si>
  <si>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</si>
  <si>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</si>
  <si>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</si>
  <si>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</si>
  <si>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</si>
  <si>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</si>
  <si>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</si>
  <si>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</si>
  <si>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</si>
  <si>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</si>
  <si>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</si>
  <si>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</si>
  <si>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</si>
  <si>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</si>
  <si>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</si>
  <si>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</si>
  <si>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</si>
  <si>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</si>
  <si>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</si>
  <si>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</si>
  <si>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</si>
  <si>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</si>
  <si>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</si>
  <si>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</si>
  <si>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</si>
  <si>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</si>
  <si>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</si>
  <si>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</si>
  <si>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</si>
  <si>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</si>
  <si>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</si>
  <si>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</si>
  <si>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</si>
  <si>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</si>
  <si>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</si>
  <si>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</si>
  <si>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</si>
  <si>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</si>
  <si>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</si>
  <si>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</si>
  <si>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</si>
  <si>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</si>
  <si>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</si>
  <si>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</si>
  <si>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</si>
  <si>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</si>
  <si>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</si>
  <si>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</si>
  <si>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</si>
  <si>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</si>
  <si>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</si>
  <si>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</si>
  <si>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</si>
  <si>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</si>
  <si>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</si>
  <si>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</si>
  <si>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</si>
  <si>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</si>
  <si>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</si>
  <si>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</si>
  <si>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</si>
  <si>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</si>
  <si>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</si>
  <si>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</si>
  <si>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</si>
  <si>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</si>
  <si>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</si>
  <si>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</si>
  <si>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</si>
  <si>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</si>
  <si>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</si>
  <si>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</si>
  <si>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</si>
  <si>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</si>
  <si>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</si>
  <si>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</si>
  <si>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</si>
  <si>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</si>
  <si>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</si>
  <si>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</si>
  <si>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</si>
  <si>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</si>
  <si>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</si>
  <si>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</si>
  <si>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</si>
  <si>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</si>
  <si>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</si>
  <si>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</si>
  <si>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</si>
  <si>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</si>
  <si>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</si>
  <si>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</si>
  <si>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</si>
  <si>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</si>
  <si>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</si>
  <si>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</si>
  <si>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</si>
  <si>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</si>
  <si>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</si>
  <si>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</si>
  <si>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</si>
  <si>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</si>
  <si>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</si>
  <si>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</si>
  <si>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</si>
  <si>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</si>
  <si>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</si>
  <si>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</si>
  <si>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</si>
  <si>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</si>
  <si>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</si>
  <si>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</si>
  <si>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</si>
  <si>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</si>
  <si>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</si>
  <si>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</si>
  <si>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</si>
  <si>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</si>
  <si>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</si>
  <si>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</si>
  <si>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</si>
  <si>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</si>
  <si>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</si>
  <si>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</si>
  <si>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</si>
  <si>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</si>
  <si>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</si>
  <si>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</si>
  <si>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</si>
  <si>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</si>
  <si>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</si>
  <si>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</si>
  <si>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</si>
  <si>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</si>
  <si>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</si>
  <si>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</si>
  <si>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</si>
  <si>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</si>
  <si>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</si>
  <si>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</si>
  <si>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</si>
  <si>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</si>
  <si>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</si>
  <si>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</si>
  <si>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</si>
  <si>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</si>
  <si>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</si>
  <si>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</si>
  <si>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</si>
  <si>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</si>
  <si>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</si>
  <si>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</si>
  <si>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</si>
  <si>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</si>
  <si>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</si>
  <si>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</si>
  <si>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</si>
  <si>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</si>
  <si>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</si>
  <si>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</si>
  <si>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</si>
  <si>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</si>
  <si>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</si>
  <si>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</si>
  <si>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</si>
  <si>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</si>
  <si>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</si>
  <si>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</si>
  <si>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</si>
  <si>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</si>
  <si>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</si>
  <si>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</si>
  <si>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</si>
  <si>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</si>
  <si>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</si>
  <si>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</si>
  <si>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</si>
  <si>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</si>
  <si>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</si>
  <si>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</si>
  <si>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</si>
  <si>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</si>
  <si>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</si>
  <si>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</si>
  <si>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</si>
  <si>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</si>
  <si>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</si>
  <si>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</si>
  <si>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</si>
  <si>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</si>
  <si>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</si>
  <si>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</si>
  <si>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</si>
  <si>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</si>
  <si>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</si>
  <si>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</si>
  <si>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</si>
  <si>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</si>
  <si>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</si>
  <si>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</si>
  <si>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</si>
  <si>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</si>
  <si>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</si>
  <si>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</si>
  <si>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</si>
  <si>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</si>
  <si>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</si>
  <si>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</si>
  <si>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</si>
  <si>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</si>
  <si>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</si>
  <si>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</si>
  <si>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</si>
  <si>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</si>
  <si>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</si>
  <si>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</si>
  <si>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</si>
  <si>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</si>
  <si>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</si>
  <si>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</si>
  <si>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</si>
  <si>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</si>
  <si>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</si>
  <si>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</si>
  <si>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</si>
  <si>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</si>
  <si>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</si>
  <si>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</si>
  <si>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</si>
  <si>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</si>
  <si>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</si>
  <si>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</si>
  <si>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</si>
  <si>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</si>
  <si>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</si>
  <si>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</si>
  <si>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</si>
  <si>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</si>
  <si>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</si>
  <si>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</si>
  <si>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</si>
  <si>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</si>
  <si>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</si>
  <si>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</si>
  <si>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</si>
  <si>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</si>
  <si>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</si>
  <si>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</si>
  <si>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</si>
  <si>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</si>
  <si>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</si>
  <si>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</si>
  <si>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</si>
  <si>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</si>
  <si>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</si>
  <si>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</si>
  <si>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</si>
  <si>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</si>
  <si>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</si>
  <si>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</si>
  <si>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</si>
  <si>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</si>
  <si>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</si>
  <si>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</si>
  <si>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</si>
  <si>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</si>
  <si>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</si>
  <si>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</si>
  <si>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</si>
  <si>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</si>
  <si>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</si>
  <si>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</si>
  <si>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</si>
  <si>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</si>
  <si>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</si>
  <si>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</si>
  <si>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</si>
  <si>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</si>
  <si>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</si>
  <si>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</si>
  <si>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</si>
  <si>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</si>
  <si>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</si>
  <si>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</si>
  <si>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</si>
  <si>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</si>
  <si>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</si>
  <si>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</si>
  <si>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</si>
  <si>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</si>
  <si>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</si>
  <si>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</si>
  <si>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</si>
  <si>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</si>
  <si>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</si>
  <si>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</si>
  <si>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</si>
  <si>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</si>
  <si>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</si>
  <si>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</si>
  <si>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</si>
  <si>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</si>
  <si>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</si>
  <si>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</si>
  <si>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</si>
  <si>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</si>
  <si>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</si>
  <si>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</si>
  <si>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</si>
  <si>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</si>
  <si>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</si>
  <si>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</si>
  <si>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</si>
  <si>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</si>
  <si>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</si>
  <si>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</si>
  <si>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</si>
  <si>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</si>
  <si>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</si>
  <si>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</si>
  <si>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</si>
  <si>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</si>
  <si>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</si>
  <si>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</si>
  <si>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</si>
  <si>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</si>
  <si>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</si>
  <si>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</si>
  <si>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</si>
  <si>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</si>
  <si>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</si>
  <si>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</si>
  <si>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</si>
  <si>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</si>
  <si>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</si>
  <si>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</si>
  <si>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</si>
  <si>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</si>
  <si>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</si>
  <si>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</si>
  <si>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</si>
  <si>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</si>
  <si>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</si>
  <si>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</si>
  <si>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</si>
  <si>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</si>
  <si>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</si>
  <si>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</si>
  <si>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</si>
  <si>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</si>
  <si>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</si>
  <si>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</si>
  <si>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</si>
  <si>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</si>
  <si>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</si>
  <si>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</si>
  <si>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</si>
  <si>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</si>
  <si>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</si>
  <si>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</si>
  <si>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</si>
  <si>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</si>
  <si>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</si>
  <si>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</si>
  <si>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</si>
  <si>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</si>
  <si>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</si>
  <si>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</si>
  <si>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</si>
  <si>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</si>
  <si>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</si>
  <si>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</si>
  <si>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</si>
  <si>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</si>
  <si>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</si>
  <si>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</si>
  <si>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</si>
  <si>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</si>
  <si>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</si>
  <si>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</si>
  <si>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</si>
  <si>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</si>
  <si>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</si>
  <si>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</si>
  <si>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</si>
  <si>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</si>
  <si>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</si>
  <si>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</si>
  <si>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</si>
  <si>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</si>
  <si>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</si>
  <si>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</si>
  <si>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</si>
  <si>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</si>
  <si>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</si>
  <si>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</si>
  <si>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</si>
  <si>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</si>
  <si>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</si>
  <si>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</si>
  <si>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</si>
  <si>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</si>
  <si>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</si>
  <si>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</si>
  <si>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</si>
  <si>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</si>
  <si>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</si>
  <si>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</si>
  <si>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</si>
  <si>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</si>
  <si>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</si>
  <si>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</si>
  <si>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</si>
  <si>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</si>
  <si>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</si>
  <si>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</si>
  <si>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</si>
  <si>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</si>
  <si>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</si>
  <si>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</si>
  <si>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</si>
  <si>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</si>
  <si>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</si>
  <si>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</si>
  <si>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</si>
  <si>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</si>
  <si>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</si>
  <si>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</si>
  <si>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</si>
  <si>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</si>
  <si>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</si>
  <si>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</si>
  <si>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</si>
  <si>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</si>
  <si>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</si>
  <si>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</si>
  <si>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</si>
  <si>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</si>
  <si>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</si>
  <si>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</si>
  <si>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</si>
  <si>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</si>
  <si>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</si>
  <si>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</si>
  <si>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</si>
  <si>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</si>
  <si>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</si>
  <si>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</si>
  <si>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</si>
  <si>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</si>
  <si>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</si>
  <si>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</si>
  <si>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</si>
  <si>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</si>
  <si>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</si>
  <si>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</si>
  <si>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</si>
  <si>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</si>
  <si>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</si>
  <si>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</si>
  <si>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</si>
  <si>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</si>
  <si>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</si>
  <si>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</si>
  <si>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</si>
  <si>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</si>
  <si>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</si>
  <si>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</si>
  <si>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</si>
  <si>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</si>
  <si>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</si>
  <si>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</si>
  <si>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</si>
  <si>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</si>
  <si>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</si>
  <si>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</si>
  <si>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</si>
  <si>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</si>
  <si>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</si>
  <si>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</si>
  <si>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</si>
  <si>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</si>
  <si>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</si>
  <si>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</si>
  <si>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</si>
  <si>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</si>
  <si>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</si>
  <si>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</si>
  <si>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</si>
  <si>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</si>
  <si>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</si>
  <si>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</si>
  <si>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</si>
  <si>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</si>
  <si>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</si>
  <si>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</si>
  <si>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</si>
  <si>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</si>
  <si>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</si>
  <si>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</si>
  <si>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</si>
  <si>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</si>
  <si>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</si>
  <si>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</si>
  <si>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</si>
  <si>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</si>
  <si>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</si>
  <si>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</si>
  <si>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</si>
  <si>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</si>
  <si>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</si>
  <si>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</si>
  <si>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</si>
  <si>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</si>
  <si>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</si>
  <si>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</si>
  <si>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</si>
  <si>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</si>
  <si>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</si>
  <si>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</si>
  <si>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</si>
  <si>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</si>
  <si>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</si>
  <si>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</si>
  <si>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</si>
  <si>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</si>
  <si>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</si>
  <si>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</si>
  <si>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</si>
  <si>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</si>
  <si>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</si>
  <si>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</si>
  <si>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</si>
  <si>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</si>
  <si>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</si>
  <si>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</si>
  <si>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</si>
  <si>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</si>
  <si>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</si>
  <si>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</si>
  <si>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</si>
  <si>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</si>
  <si>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</si>
  <si>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</si>
  <si>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</si>
  <si>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</si>
  <si>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</si>
  <si>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</si>
  <si>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</si>
  <si>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</si>
  <si>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</si>
  <si>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</si>
  <si>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</si>
  <si>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</si>
  <si>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</si>
  <si>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</si>
  <si>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</si>
  <si>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</si>
  <si>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</si>
  <si>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</si>
  <si>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</si>
  <si>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</si>
  <si>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</si>
  <si>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</si>
  <si>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</si>
  <si>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</si>
  <si>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</si>
  <si>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</si>
  <si>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</si>
  <si>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</si>
  <si>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</si>
  <si>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</si>
  <si>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</si>
  <si>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</si>
  <si>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</si>
  <si>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</si>
  <si>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</si>
  <si>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</si>
  <si>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</si>
  <si>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</si>
  <si>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</si>
  <si>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</si>
  <si>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</si>
  <si>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</si>
  <si>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</si>
  <si>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</si>
  <si>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</si>
  <si>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</si>
  <si>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</si>
  <si>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</si>
  <si>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</si>
  <si>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</si>
  <si>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</si>
  <si>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</si>
  <si>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</si>
  <si>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</si>
  <si>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</si>
  <si>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</si>
  <si>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</si>
  <si>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</si>
  <si>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</si>
  <si>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</si>
  <si>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</si>
  <si>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</si>
  <si>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</si>
  <si>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</si>
  <si>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</si>
  <si>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</si>
  <si>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</si>
  <si>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</si>
  <si>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</si>
  <si>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</si>
  <si>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</si>
  <si>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</si>
  <si>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</si>
  <si>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</si>
  <si>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</si>
  <si>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</si>
  <si>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</si>
  <si>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</si>
  <si>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</si>
  <si>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</si>
  <si>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</si>
  <si>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</si>
  <si>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</si>
  <si>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</si>
  <si>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</si>
  <si>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</si>
  <si>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</si>
  <si>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</si>
  <si>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</si>
  <si>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</si>
  <si>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</si>
  <si>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</si>
  <si>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</si>
  <si>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</si>
  <si>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</si>
  <si>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</si>
  <si>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</si>
  <si>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</si>
  <si>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</si>
  <si>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</si>
  <si>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</si>
  <si>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</si>
  <si>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</si>
  <si>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</si>
  <si>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</si>
  <si>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</si>
  <si>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</si>
  <si>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</si>
  <si>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</si>
  <si>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</si>
  <si>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</si>
  <si>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</si>
  <si>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</si>
  <si>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</si>
  <si>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</si>
  <si>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</si>
  <si>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</si>
  <si>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</si>
  <si>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</si>
  <si>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</si>
  <si>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</si>
  <si>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</si>
  <si>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</si>
  <si>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</si>
  <si>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</si>
  <si>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</si>
  <si>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</si>
  <si>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</si>
  <si>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</si>
  <si>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</si>
  <si>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</si>
  <si>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</si>
  <si>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</si>
  <si>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</si>
  <si>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</si>
  <si>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</si>
  <si>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</si>
  <si>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</si>
  <si>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</si>
  <si>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</si>
  <si>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</si>
  <si>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</si>
  <si>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</si>
  <si>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</si>
  <si>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</si>
  <si>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</si>
  <si>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</si>
  <si>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</si>
  <si>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</si>
  <si>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</si>
  <si>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</si>
  <si>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</si>
  <si>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</si>
  <si>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</si>
  <si>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</si>
  <si>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</si>
  <si>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</si>
  <si>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</si>
  <si>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</si>
  <si>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</si>
  <si>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</si>
  <si>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</si>
  <si>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</si>
  <si>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</si>
  <si>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</si>
  <si>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</si>
  <si>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</si>
  <si>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</si>
  <si>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</si>
  <si>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</si>
  <si>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</si>
  <si>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</si>
  <si>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</si>
  <si>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</si>
  <si>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</si>
  <si>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</si>
  <si>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</si>
  <si>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</si>
  <si>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</si>
  <si>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</si>
  <si>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</si>
  <si>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</si>
  <si>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</si>
  <si>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</si>
  <si>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</si>
  <si>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</si>
  <si>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</si>
  <si>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</si>
  <si>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</si>
  <si>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</si>
  <si>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</si>
  <si>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</si>
  <si>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</si>
  <si>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</si>
  <si>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</si>
  <si>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</si>
  <si>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</si>
  <si>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</si>
  <si>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</si>
  <si>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</si>
  <si>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</si>
  <si>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</si>
  <si>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</si>
  <si>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</si>
  <si>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</si>
  <si>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</si>
  <si>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</si>
  <si>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</si>
  <si>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</si>
  <si>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</si>
  <si>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</si>
  <si>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</si>
  <si>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</si>
  <si>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</si>
  <si>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</si>
  <si>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</si>
  <si>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</si>
  <si>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</si>
  <si>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</si>
  <si>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</si>
  <si>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</si>
  <si>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</si>
  <si>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</si>
  <si>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</si>
  <si>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</si>
  <si>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</si>
  <si>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</si>
  <si>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</si>
  <si>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</si>
  <si>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</si>
  <si>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</si>
  <si>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</si>
  <si>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</si>
  <si>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</si>
  <si>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</si>
  <si>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</si>
  <si>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</si>
  <si>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</si>
  <si>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</si>
  <si>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</si>
  <si>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</si>
  <si>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</si>
  <si>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</si>
  <si>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</si>
  <si>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</si>
  <si>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</si>
  <si>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</si>
  <si>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</si>
  <si>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</si>
  <si>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</si>
  <si>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</si>
  <si>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</si>
  <si>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</si>
  <si>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</si>
  <si>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</si>
  <si>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</si>
  <si>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</si>
  <si>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</si>
  <si>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</si>
  <si>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</si>
  <si>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</si>
  <si>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</si>
  <si>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</si>
  <si>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</si>
  <si>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</si>
  <si>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</si>
  <si>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</si>
  <si>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</si>
  <si>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</si>
  <si>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</si>
  <si>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</si>
  <si>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</si>
  <si>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</si>
  <si>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</si>
  <si>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</si>
  <si>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</si>
  <si>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</si>
  <si>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</si>
  <si>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</si>
  <si>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</si>
  <si>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</si>
  <si>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</si>
  <si>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</si>
  <si>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</si>
  <si>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</si>
  <si>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</si>
  <si>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</si>
  <si>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</si>
  <si>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</si>
  <si>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</si>
  <si>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</si>
  <si>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</si>
  <si>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</si>
  <si>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</si>
  <si>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</si>
  <si>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</si>
  <si>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</si>
  <si>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</si>
  <si>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</si>
  <si>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</si>
  <si>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</si>
  <si>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</si>
  <si>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</si>
  <si>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</si>
  <si>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</si>
  <si>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</si>
  <si>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</si>
  <si>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</si>
  <si>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</si>
  <si>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</si>
  <si>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</si>
  <si>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</si>
  <si>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</si>
  <si>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</si>
  <si>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</si>
  <si>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</si>
  <si>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</si>
  <si>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</si>
  <si>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</si>
  <si>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</si>
  <si>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</si>
  <si>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</si>
  <si>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</si>
  <si>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</si>
  <si>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</si>
  <si>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</si>
  <si>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</si>
  <si>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</si>
  <si>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</si>
  <si>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</si>
  <si>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</si>
  <si>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</si>
  <si>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</si>
  <si>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</si>
  <si>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</si>
  <si>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</si>
  <si>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</si>
  <si>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</si>
  <si>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</si>
  <si>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</si>
  <si>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</si>
  <si>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</si>
  <si>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</si>
  <si>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</si>
  <si>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</si>
  <si>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</si>
  <si>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</si>
  <si>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</si>
  <si>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</si>
  <si>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</si>
  <si>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</si>
  <si>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</si>
  <si>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</si>
  <si>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</si>
  <si>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</si>
  <si>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</si>
  <si>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</si>
  <si>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</si>
  <si>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</si>
  <si>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</si>
  <si>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</si>
  <si>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</si>
  <si>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</si>
  <si>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</si>
  <si>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</si>
  <si>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</si>
  <si>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</si>
  <si>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</si>
  <si>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</si>
  <si>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</si>
  <si>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</si>
  <si>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</si>
  <si>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</si>
  <si>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</si>
  <si>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</si>
  <si>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</si>
  <si>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</si>
  <si>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</si>
  <si>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</si>
  <si>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</si>
  <si>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</si>
  <si>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</si>
  <si>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</si>
  <si>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</si>
  <si>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</si>
  <si>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</si>
  <si>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</si>
  <si>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</si>
  <si>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</si>
  <si>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</si>
  <si>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</si>
  <si>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</si>
  <si>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</si>
  <si>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</si>
  <si>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</si>
  <si>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</si>
  <si>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</si>
  <si>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</si>
  <si>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</si>
  <si>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</si>
  <si>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</si>
  <si>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</si>
  <si>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</si>
  <si>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</si>
  <si>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</si>
  <si>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</si>
  <si>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</si>
  <si>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</si>
  <si>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</si>
  <si>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</si>
  <si>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</si>
  <si>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</si>
  <si>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</si>
  <si>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</si>
  <si>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</si>
  <si>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</si>
  <si>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</si>
  <si>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</si>
  <si>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</si>
  <si>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</si>
  <si>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</si>
  <si>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</si>
  <si>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</si>
  <si>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</si>
  <si>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</si>
  <si>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</si>
  <si>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</si>
  <si>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</si>
  <si>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</si>
  <si>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</si>
  <si>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</si>
  <si>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</si>
  <si>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</si>
  <si>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</si>
  <si>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</si>
  <si>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</si>
  <si>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</si>
  <si>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</si>
  <si>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</si>
  <si>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</si>
  <si>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</si>
  <si>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</si>
  <si>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</si>
  <si>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</si>
  <si>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</si>
  <si>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</si>
  <si>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</si>
  <si>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</si>
  <si>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</si>
  <si>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</si>
  <si>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</si>
  <si>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</si>
  <si>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</si>
  <si>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</si>
  <si>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</si>
  <si>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</si>
  <si>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</si>
  <si>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</si>
  <si>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</si>
  <si>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</si>
  <si>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</si>
  <si>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</si>
  <si>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</si>
  <si>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</si>
  <si>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</si>
  <si>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</si>
  <si>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</si>
  <si>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</si>
  <si>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</si>
  <si>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</si>
  <si>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</si>
  <si>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</si>
  <si>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</si>
  <si>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</si>
  <si>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</si>
  <si>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</si>
  <si>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</si>
  <si>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</si>
  <si>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</si>
  <si>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</si>
  <si>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</si>
  <si>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</si>
  <si>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</si>
  <si>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</si>
  <si>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</si>
  <si>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</si>
  <si>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</si>
  <si>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</si>
  <si>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</si>
  <si>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</si>
  <si>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</si>
  <si>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</si>
  <si>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</si>
  <si>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</si>
  <si>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</si>
  <si>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</si>
  <si>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</si>
  <si>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</si>
  <si>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</si>
  <si>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</si>
  <si>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</si>
  <si>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</si>
  <si>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</si>
  <si>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</si>
  <si>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</si>
  <si>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</si>
  <si>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</si>
  <si>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</si>
  <si>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</si>
  <si>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</si>
  <si>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</si>
  <si>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</si>
  <si>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</si>
  <si>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</si>
  <si>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</si>
  <si>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</si>
  <si>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</si>
  <si>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</si>
  <si>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</si>
  <si>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</si>
  <si>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</si>
  <si>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</si>
  <si>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</si>
  <si>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</si>
  <si>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</si>
  <si>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</si>
  <si>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</si>
  <si>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</si>
  <si>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</si>
  <si>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</si>
  <si>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</si>
  <si>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</si>
  <si>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</si>
  <si>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</si>
  <si>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</si>
  <si>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</si>
  <si>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</si>
  <si>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</si>
  <si>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</si>
  <si>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</si>
  <si>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</si>
  <si>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</si>
  <si>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</si>
  <si>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</si>
  <si>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</si>
  <si>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</si>
  <si>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</si>
  <si>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</si>
  <si>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</si>
  <si>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</si>
  <si>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</si>
  <si>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</si>
  <si>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</si>
  <si>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</si>
  <si>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</si>
  <si>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</si>
  <si>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</si>
  <si>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</si>
  <si>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</si>
  <si>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</si>
  <si>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</si>
  <si>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</si>
  <si>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</si>
  <si>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</si>
  <si>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</si>
  <si>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</si>
  <si>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</si>
  <si>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</si>
  <si>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</si>
  <si>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</si>
  <si>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</si>
  <si>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</si>
  <si>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</si>
  <si>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</si>
  <si>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</si>
  <si>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</si>
  <si>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</si>
  <si>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</si>
  <si>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</si>
  <si>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</si>
  <si>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</si>
  <si>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</si>
  <si>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</si>
  <si>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</si>
  <si>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</si>
  <si>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</si>
  <si>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</si>
  <si>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</si>
  <si>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</si>
  <si>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</si>
  <si>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</si>
  <si>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</si>
  <si>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</si>
  <si>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</si>
  <si>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</si>
  <si>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</si>
  <si>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</si>
  <si>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</si>
  <si>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</si>
  <si>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</si>
  <si>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</si>
  <si>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</si>
  <si>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</si>
  <si>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</si>
  <si>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</si>
  <si>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</si>
  <si>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</si>
  <si>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</si>
  <si>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</si>
  <si>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</si>
  <si>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</si>
  <si>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</si>
  <si>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</si>
  <si>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</si>
  <si>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</si>
  <si>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</si>
  <si>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</si>
  <si>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</si>
  <si>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</si>
  <si>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</si>
  <si>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</si>
  <si>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</si>
  <si>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</si>
  <si>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</si>
  <si>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</si>
  <si>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</si>
  <si>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</si>
  <si>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</si>
  <si>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</si>
  <si>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</si>
  <si>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</si>
  <si>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</si>
  <si>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</si>
  <si>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</si>
  <si>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</si>
  <si>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</si>
  <si>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</si>
  <si>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</si>
  <si>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</si>
  <si>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</si>
  <si>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</si>
  <si>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</si>
  <si>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</si>
  <si>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</si>
  <si>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</si>
  <si>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</si>
  <si>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</si>
  <si>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</si>
  <si>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</si>
  <si>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</si>
  <si>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</si>
  <si>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</si>
  <si>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</si>
  <si>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</si>
  <si>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</si>
  <si>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</si>
  <si>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</si>
  <si>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</si>
  <si>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</si>
  <si>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</si>
  <si>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</si>
  <si>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</si>
  <si>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</si>
  <si>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</si>
  <si>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</si>
  <si>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</si>
  <si>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</si>
  <si>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</si>
  <si>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</si>
  <si>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</si>
  <si>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</si>
  <si>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</si>
  <si>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</si>
  <si>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</si>
  <si>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</si>
  <si>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</si>
  <si>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</si>
  <si>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</si>
  <si>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</si>
  <si>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</si>
  <si>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</si>
  <si>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</si>
  <si>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</si>
  <si>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</si>
  <si>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</si>
  <si>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</si>
  <si>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</si>
  <si>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</si>
  <si>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</si>
  <si>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</si>
  <si>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</si>
  <si>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</si>
  <si>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</si>
  <si>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</si>
  <si>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</si>
  <si>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</si>
  <si>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</si>
  <si>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</si>
  <si>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</si>
  <si>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</si>
  <si>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</si>
  <si>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</si>
  <si>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</si>
  <si>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</si>
  <si>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</si>
  <si>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</si>
  <si>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</si>
  <si>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</si>
  <si>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</si>
  <si>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</si>
  <si>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</si>
  <si>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</si>
  <si>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</si>
  <si>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</si>
  <si>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</si>
  <si>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</si>
  <si>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</si>
  <si>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</si>
  <si>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</si>
  <si>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</si>
  <si>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</si>
  <si>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</si>
  <si>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</si>
  <si>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</si>
  <si>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</si>
  <si>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</si>
  <si>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</si>
  <si>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</si>
  <si>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</si>
  <si>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</si>
  <si>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</si>
  <si>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</si>
  <si>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</si>
  <si>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</si>
  <si>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</si>
  <si>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</si>
  <si>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</si>
  <si>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</si>
  <si>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</si>
  <si>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</si>
  <si>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</si>
  <si>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</si>
  <si>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</si>
  <si>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</si>
  <si>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</si>
  <si>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</si>
  <si>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</si>
  <si>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</si>
  <si>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</si>
  <si>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</si>
  <si>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</si>
  <si>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</si>
  <si>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</si>
  <si>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</si>
  <si>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</si>
  <si>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</si>
  <si>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</si>
  <si>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</si>
  <si>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</si>
  <si>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</si>
  <si>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</si>
  <si>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</si>
  <si>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</si>
  <si>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</si>
  <si>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</si>
  <si>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</si>
  <si>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</si>
  <si>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</si>
  <si>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</si>
  <si>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</si>
  <si>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</si>
  <si>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</si>
  <si>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</si>
  <si>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</si>
  <si>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</si>
  <si>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</si>
  <si>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</si>
  <si>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</si>
  <si>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</si>
  <si>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</si>
  <si>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</si>
  <si>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</si>
  <si>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</si>
  <si>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</si>
  <si>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</si>
  <si>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</si>
  <si>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</si>
  <si>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</si>
  <si>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</si>
  <si>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</si>
  <si>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</si>
  <si>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</si>
  <si>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</si>
  <si>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</si>
  <si>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</si>
  <si>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</si>
  <si>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</si>
  <si>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</si>
  <si>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</si>
  <si>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</si>
  <si>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</si>
  <si>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</si>
  <si>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</si>
  <si>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</si>
  <si>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</si>
  <si>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</si>
  <si>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</si>
  <si>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</si>
  <si>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</si>
  <si>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</si>
  <si>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</si>
  <si>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</si>
  <si>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</si>
  <si>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</si>
  <si>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</si>
  <si>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</si>
  <si>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</si>
  <si>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</si>
  <si>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</si>
  <si>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</si>
  <si>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</si>
  <si>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</si>
  <si>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</si>
  <si>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</si>
  <si>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</si>
  <si>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</si>
  <si>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</si>
  <si>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</si>
  <si>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</si>
  <si>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</si>
  <si>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</si>
  <si>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</si>
  <si>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</si>
  <si>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</si>
  <si>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</si>
  <si>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</si>
  <si>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</si>
  <si>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</si>
  <si>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</si>
  <si>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</si>
  <si>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</si>
  <si>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</si>
  <si>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</si>
  <si>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</si>
  <si>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</si>
  <si>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</si>
  <si>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</si>
  <si>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</si>
  <si>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</si>
  <si>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</si>
  <si>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</si>
  <si>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</si>
  <si>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</si>
  <si>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</si>
  <si>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</si>
  <si>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</si>
  <si>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</si>
  <si>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</si>
  <si>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</si>
  <si>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</si>
  <si>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</si>
  <si>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</si>
  <si>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</si>
  <si>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</si>
  <si>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</si>
  <si>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</si>
  <si>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</si>
  <si>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</si>
  <si>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</si>
  <si>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</si>
  <si>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</si>
  <si>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</si>
  <si>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</si>
  <si>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</si>
  <si>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</si>
  <si>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</si>
  <si>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</si>
  <si>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</si>
  <si>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</si>
  <si>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</si>
  <si>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</si>
  <si>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</si>
  <si>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</si>
  <si>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</si>
  <si>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</si>
  <si>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</si>
  <si>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</si>
  <si>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</si>
  <si>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</si>
  <si>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</si>
  <si>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</si>
  <si>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</si>
  <si>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</si>
  <si>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</si>
  <si>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</si>
  <si>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</si>
  <si>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</si>
  <si>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</si>
  <si>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</si>
  <si>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</si>
  <si>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</si>
  <si>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</si>
  <si>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</si>
  <si>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</si>
  <si>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</si>
  <si>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</si>
  <si>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</si>
  <si>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</si>
  <si>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</si>
  <si>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</si>
  <si>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</si>
  <si>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</si>
  <si>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</si>
  <si>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</si>
  <si>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</si>
  <si>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</si>
  <si>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</si>
  <si>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</si>
  <si>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</si>
  <si>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</si>
  <si>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</si>
  <si>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</si>
  <si>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</si>
  <si>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</si>
  <si>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</si>
  <si>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</si>
  <si>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</si>
  <si>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</si>
  <si>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</si>
  <si>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</si>
  <si>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</si>
  <si>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</si>
  <si>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</si>
  <si>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</si>
  <si>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</si>
  <si>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</si>
  <si>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</si>
  <si>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</si>
  <si>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</si>
  <si>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</si>
  <si>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</si>
  <si>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</si>
  <si>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</si>
  <si>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</si>
  <si>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</si>
  <si>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</si>
  <si>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</si>
  <si>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</si>
  <si>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</si>
  <si>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</si>
  <si>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</si>
  <si>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</si>
  <si>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</si>
  <si>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</si>
  <si>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</si>
  <si>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</si>
  <si>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</si>
  <si>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</si>
  <si>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</si>
  <si>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</si>
  <si>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</si>
  <si>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</si>
  <si>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</si>
  <si>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</si>
  <si>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</si>
  <si>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</si>
  <si>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</si>
  <si>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</si>
  <si>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</si>
  <si>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</si>
  <si>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</si>
  <si>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</si>
  <si>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</si>
  <si>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</si>
  <si>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</si>
  <si>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</si>
  <si>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</si>
  <si>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</si>
  <si>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</si>
  <si>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</si>
  <si>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</si>
  <si>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</si>
  <si>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</si>
  <si>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</si>
  <si>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</si>
  <si>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</si>
  <si>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</si>
  <si>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</si>
  <si>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</si>
  <si>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</si>
  <si>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</si>
  <si>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</si>
  <si>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</si>
  <si>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</si>
  <si>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</si>
  <si>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</si>
  <si>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</si>
  <si>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</si>
  <si>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</si>
  <si>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</si>
  <si>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</si>
  <si>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</si>
  <si>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</si>
  <si>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</si>
  <si>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</si>
  <si>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</si>
  <si>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</si>
  <si>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</si>
  <si>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</si>
  <si>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</si>
  <si>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</si>
  <si>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</si>
  <si>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</si>
  <si>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</si>
  <si>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</si>
  <si>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</si>
  <si>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</si>
  <si>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</si>
  <si>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</si>
  <si>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</si>
  <si>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</si>
  <si>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</si>
  <si>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</si>
  <si>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</si>
  <si>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</si>
  <si>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</si>
  <si>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</si>
  <si>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</si>
  <si>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</si>
  <si>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</si>
  <si>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</si>
  <si>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</si>
  <si>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</si>
  <si>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</si>
  <si>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</si>
  <si>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</si>
  <si>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</si>
  <si>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</si>
  <si>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</si>
  <si>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</si>
  <si>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</si>
  <si>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</si>
  <si>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</si>
  <si>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</si>
  <si>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</si>
  <si>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</si>
  <si>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</si>
  <si>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</si>
  <si>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</si>
  <si>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</si>
  <si>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</si>
  <si>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</si>
  <si>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</si>
  <si>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</si>
  <si>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</si>
  <si>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</si>
  <si>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</si>
  <si>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</si>
  <si>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</si>
  <si>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</si>
  <si>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</si>
  <si>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</si>
  <si>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</si>
  <si>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</si>
  <si>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</si>
  <si>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</si>
  <si>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</si>
  <si>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</si>
  <si>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</si>
  <si>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</si>
  <si>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</si>
  <si>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</si>
  <si>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</si>
  <si>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</si>
  <si>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</si>
  <si>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</si>
  <si>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</si>
  <si>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</si>
  <si>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</si>
  <si>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</si>
  <si>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</si>
  <si>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</si>
  <si>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</si>
  <si>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</si>
  <si>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</si>
  <si>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</si>
  <si>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</si>
  <si>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</si>
  <si>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</si>
  <si>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</si>
  <si>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</si>
  <si>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</si>
  <si>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</si>
  <si>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</si>
  <si>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</si>
  <si>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</si>
  <si>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</si>
  <si>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</si>
  <si>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</si>
  <si>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</si>
  <si>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</si>
  <si>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</si>
  <si>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</si>
  <si>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</si>
  <si>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</si>
  <si>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</si>
  <si>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</si>
  <si>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</si>
  <si>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</si>
  <si>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</si>
  <si>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</si>
  <si>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</si>
  <si>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</si>
  <si>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</si>
  <si>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</si>
  <si>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</si>
  <si>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</si>
  <si>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</si>
  <si>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</si>
  <si>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</si>
  <si>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</si>
  <si>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</si>
  <si>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</si>
  <si>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</si>
  <si>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</si>
  <si>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</si>
  <si>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</si>
  <si>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</si>
  <si>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</si>
  <si>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</si>
  <si>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</si>
  <si>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</si>
  <si>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</si>
  <si>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</si>
  <si>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</si>
  <si>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</si>
  <si>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</si>
  <si>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</si>
  <si>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</si>
  <si>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</si>
  <si>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</si>
  <si>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</si>
  <si>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</si>
  <si>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</si>
  <si>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</si>
  <si>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</si>
  <si>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</si>
  <si>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</si>
  <si>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</si>
  <si>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</si>
  <si>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</si>
  <si>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</si>
  <si>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</si>
  <si>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</si>
  <si>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</si>
  <si>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</si>
  <si>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</si>
  <si>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</si>
  <si>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</si>
  <si>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</si>
  <si>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</si>
  <si>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</si>
  <si>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</si>
  <si>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</si>
  <si>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</si>
  <si>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</si>
  <si>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</si>
  <si>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</si>
  <si>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</si>
  <si>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</si>
  <si>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</si>
  <si>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</si>
  <si>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</si>
  <si>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</si>
  <si>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</si>
  <si>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</si>
  <si>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</si>
  <si>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</si>
  <si>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</si>
  <si>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</si>
  <si>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</si>
  <si>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</si>
  <si>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</si>
  <si>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</si>
  <si>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</si>
  <si>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</si>
  <si>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</si>
  <si>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</si>
  <si>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</si>
  <si>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</si>
  <si>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</si>
  <si>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</si>
  <si>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</si>
  <si>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</si>
  <si>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</si>
  <si>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</si>
  <si>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</si>
  <si>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</si>
  <si>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</si>
  <si>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</si>
  <si>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</si>
  <si>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</si>
  <si>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</si>
  <si>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</si>
  <si>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</si>
  <si>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</si>
  <si>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</si>
  <si>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</si>
  <si>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</si>
  <si>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</si>
  <si>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</si>
  <si>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</si>
  <si>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</si>
  <si>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</si>
  <si>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</si>
  <si>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</si>
  <si>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</si>
  <si>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</si>
  <si>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</si>
  <si>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</si>
  <si>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</si>
  <si>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</si>
  <si>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</si>
  <si>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</si>
  <si>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</si>
  <si>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</si>
  <si>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</si>
  <si>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</si>
  <si>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</si>
  <si>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</si>
  <si>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</si>
  <si>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</si>
  <si>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</si>
  <si>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</si>
  <si>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</si>
  <si>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</si>
  <si>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</si>
  <si>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</si>
  <si>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</si>
  <si>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</si>
  <si>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</si>
  <si>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</si>
  <si>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</si>
  <si>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</si>
  <si>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</si>
  <si>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</si>
  <si>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</si>
  <si>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</si>
  <si>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</si>
  <si>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</si>
  <si>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</si>
  <si>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</si>
  <si>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</si>
  <si>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</si>
  <si>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</si>
  <si>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</si>
  <si>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</si>
  <si>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</si>
  <si>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</si>
  <si>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</si>
  <si>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</si>
  <si>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</si>
  <si>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</si>
  <si>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</si>
  <si>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</si>
  <si>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</si>
  <si>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</si>
  <si>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</si>
  <si>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</si>
  <si>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</si>
  <si>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</si>
  <si>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</si>
  <si>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</si>
  <si>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</si>
  <si>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</si>
  <si>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</si>
  <si>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</si>
  <si>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</si>
  <si>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</si>
  <si>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</si>
  <si>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</si>
  <si>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</si>
  <si>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</si>
  <si>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</si>
  <si>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</si>
  <si>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</si>
  <si>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</si>
  <si>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</si>
  <si>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</si>
  <si>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</si>
  <si>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</si>
  <si>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</si>
  <si>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</si>
  <si>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</si>
  <si>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</si>
  <si>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</si>
  <si>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</si>
  <si>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</si>
  <si>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</si>
  <si>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</si>
  <si>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</si>
  <si>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</si>
  <si>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</si>
  <si>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</si>
  <si>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</si>
  <si>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</si>
  <si>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</si>
  <si>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</si>
  <si>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</si>
  <si>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</si>
  <si>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</si>
  <si>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</si>
  <si>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</si>
  <si>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</si>
  <si>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</si>
  <si>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</si>
  <si>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</si>
  <si>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</si>
  <si>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</si>
  <si>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</si>
  <si>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</si>
  <si>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</si>
  <si>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</si>
  <si>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</si>
  <si>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</si>
  <si>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</si>
  <si>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</si>
  <si>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</si>
  <si>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</si>
  <si>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</si>
  <si>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</si>
  <si>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</si>
  <si>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</si>
  <si>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</si>
  <si>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</si>
  <si>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</si>
  <si>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</si>
  <si>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</si>
  <si>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</si>
  <si>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</si>
  <si>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</si>
  <si>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</si>
  <si>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</si>
  <si>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</si>
  <si>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</si>
  <si>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</si>
  <si>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</si>
  <si>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</si>
  <si>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</si>
  <si>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</si>
  <si>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</si>
  <si>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</si>
  <si>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</si>
  <si>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</si>
  <si>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</si>
  <si>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</si>
  <si>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</si>
  <si>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</si>
  <si>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</si>
  <si>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</si>
  <si>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</si>
  <si>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</si>
  <si>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</si>
  <si>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</si>
  <si>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</si>
  <si>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</si>
  <si>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</si>
  <si>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</si>
  <si>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</si>
  <si>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</si>
  <si>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</si>
  <si>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</si>
  <si>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</si>
  <si>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</si>
  <si>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</si>
  <si>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</si>
  <si>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</si>
  <si>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</si>
  <si>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</si>
  <si>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</si>
  <si>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</si>
  <si>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</si>
  <si>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</si>
  <si>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</si>
  <si>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</si>
  <si>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</si>
  <si>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</si>
  <si>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</si>
  <si>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</si>
  <si>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</si>
  <si>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</si>
  <si>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</si>
  <si>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</si>
  <si>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</si>
  <si>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</si>
  <si>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</si>
  <si>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</si>
  <si>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</si>
  <si>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</si>
  <si>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</si>
  <si>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</si>
  <si>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</si>
  <si>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</si>
  <si>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</si>
  <si>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</si>
  <si>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</si>
  <si>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</si>
  <si>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</si>
  <si>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</si>
  <si>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</si>
  <si>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</si>
  <si>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</si>
  <si>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</si>
  <si>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</si>
  <si>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</si>
  <si>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</si>
  <si>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</si>
  <si>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</si>
  <si>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</si>
  <si>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</si>
  <si>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</si>
  <si>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</si>
  <si>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</si>
  <si>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</si>
  <si>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</si>
  <si>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</si>
  <si>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</si>
  <si>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</si>
  <si>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</si>
  <si>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</si>
  <si>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</si>
  <si>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</si>
  <si>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</si>
  <si>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</si>
  <si>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</si>
  <si>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</si>
  <si>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</si>
  <si>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</si>
  <si>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</si>
  <si>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</si>
  <si>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</si>
  <si>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</si>
  <si>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</si>
  <si>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</si>
  <si>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</si>
  <si>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</si>
  <si>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</si>
  <si>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</si>
  <si>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</si>
  <si>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</si>
  <si>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</si>
  <si>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</si>
  <si>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</si>
  <si>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</si>
  <si>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</si>
  <si>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</si>
  <si>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</si>
  <si>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</si>
  <si>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</si>
  <si>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</si>
  <si>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</si>
  <si>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</si>
  <si>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</si>
  <si>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</si>
  <si>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</si>
  <si>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</si>
  <si>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</si>
  <si>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</si>
  <si>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</si>
  <si>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</si>
  <si>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</si>
  <si>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</si>
  <si>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</si>
  <si>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</si>
  <si>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</si>
  <si>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</si>
  <si>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</si>
  <si>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</si>
  <si>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</si>
  <si>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</si>
  <si>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</si>
  <si>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</si>
  <si>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</si>
  <si>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</si>
  <si>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</si>
  <si>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</si>
  <si>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</si>
  <si>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</si>
  <si>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</si>
  <si>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</si>
  <si>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</si>
  <si>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</si>
  <si>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</si>
  <si>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</si>
  <si>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</si>
  <si>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</si>
  <si>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</si>
  <si>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</si>
  <si>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</si>
  <si>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</si>
  <si>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</si>
  <si>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</si>
  <si>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</si>
  <si>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</si>
  <si>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</si>
  <si>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</si>
  <si>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</si>
  <si>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</si>
  <si>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</si>
  <si>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</si>
  <si>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</si>
  <si>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</si>
  <si>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</si>
  <si>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</si>
  <si>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</si>
  <si>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</si>
  <si>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</si>
  <si>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</si>
  <si>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</si>
  <si>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</si>
  <si>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</si>
  <si>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</si>
  <si>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</si>
  <si>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</si>
  <si>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</si>
  <si>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</si>
  <si>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</si>
  <si>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</si>
  <si>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</si>
  <si>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</si>
  <si>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</si>
  <si>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</si>
  <si>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</si>
  <si>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</si>
  <si>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</si>
  <si>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</si>
  <si>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</si>
  <si>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</si>
  <si>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</si>
  <si>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</si>
  <si>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</si>
  <si>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</si>
  <si>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</si>
  <si>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</si>
  <si>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</si>
  <si>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</si>
  <si>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</si>
  <si>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</si>
  <si>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</si>
  <si>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</si>
  <si>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</si>
  <si>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</si>
  <si>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</si>
  <si>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</si>
  <si>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</si>
  <si>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</si>
  <si>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</si>
  <si>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</si>
  <si>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</si>
  <si>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</si>
  <si>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</si>
  <si>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</si>
  <si>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</si>
  <si>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</si>
  <si>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</si>
  <si>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</si>
  <si>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</si>
  <si>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</si>
  <si>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</si>
  <si>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</si>
  <si>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</si>
  <si>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</si>
  <si>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</si>
  <si>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</si>
  <si>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</si>
  <si>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</si>
  <si>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</si>
  <si>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</si>
  <si>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</si>
  <si>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</si>
  <si>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</si>
  <si>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</si>
  <si>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</si>
  <si>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</si>
  <si>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</si>
  <si>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</si>
  <si>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</si>
  <si>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</si>
  <si>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</si>
  <si>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</si>
  <si>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</si>
  <si>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</si>
  <si>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</si>
  <si>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</si>
  <si>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</si>
  <si>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</si>
  <si>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</si>
  <si>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</si>
  <si>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</si>
  <si>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</si>
  <si>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</si>
  <si>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</si>
  <si>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</si>
  <si>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</si>
  <si>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</si>
  <si>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</si>
  <si>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</si>
  <si>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</si>
  <si>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</si>
  <si>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</si>
  <si>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</si>
  <si>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</si>
  <si>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</si>
  <si>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</si>
  <si>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</si>
  <si>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</si>
  <si>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</si>
  <si>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</si>
  <si>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</si>
  <si>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</si>
  <si>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</si>
  <si>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</si>
  <si>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</si>
  <si>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</si>
  <si>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</si>
  <si>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</si>
  <si>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</si>
  <si>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</si>
  <si>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</si>
  <si>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</si>
  <si>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</si>
  <si>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</si>
  <si>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</si>
  <si>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</si>
  <si>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</si>
  <si>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</si>
  <si>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</si>
  <si>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</si>
  <si>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</si>
  <si>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</si>
  <si>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</si>
  <si>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</si>
  <si>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</si>
  <si>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</si>
  <si>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</si>
  <si>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</si>
  <si>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</si>
  <si>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</si>
  <si>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</si>
  <si>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</si>
  <si>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</si>
  <si>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</si>
  <si>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</si>
  <si>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</si>
  <si>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</si>
  <si>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</si>
  <si>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</si>
  <si>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</si>
  <si>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</si>
  <si>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</si>
  <si>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</si>
  <si>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</si>
  <si>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</si>
  <si>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</si>
  <si>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</si>
  <si>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</si>
  <si>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</si>
  <si>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</si>
  <si>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</si>
  <si>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</si>
  <si>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</si>
  <si>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</si>
  <si>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</si>
  <si>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</si>
  <si>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</si>
  <si>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</si>
  <si>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</si>
  <si>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</si>
  <si>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</si>
  <si>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</si>
  <si>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</si>
  <si>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</si>
  <si>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</si>
  <si>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</si>
  <si>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</si>
  <si>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</si>
  <si>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</si>
  <si>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</si>
  <si>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</si>
  <si>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</si>
  <si>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</si>
  <si>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</si>
  <si>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</si>
  <si>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</si>
  <si>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</si>
  <si>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</si>
  <si>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</si>
  <si>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</si>
  <si>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</si>
  <si>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</si>
  <si>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</si>
  <si>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</si>
  <si>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</si>
  <si>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</si>
  <si>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</si>
  <si>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</si>
  <si>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</si>
  <si>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</si>
  <si>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</si>
  <si>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</si>
  <si>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</si>
  <si>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</si>
  <si>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</si>
  <si>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</si>
  <si>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</si>
  <si>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</si>
  <si>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</si>
  <si>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</si>
  <si>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</si>
  <si>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</si>
  <si>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</si>
  <si>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</si>
  <si>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</si>
  <si>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</si>
  <si>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</si>
  <si>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</si>
  <si>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</si>
  <si>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</si>
  <si>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</si>
  <si>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</si>
  <si>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</si>
  <si>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</si>
  <si>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</si>
  <si>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</si>
  <si>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</si>
  <si>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</si>
  <si>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</si>
  <si>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</si>
  <si>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</si>
  <si>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</si>
  <si>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</si>
  <si>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</si>
  <si>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</si>
  <si>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</si>
  <si>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</si>
  <si>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</si>
  <si>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</si>
  <si>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</si>
  <si>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</si>
  <si>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</si>
  <si>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</si>
  <si>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</si>
  <si>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</si>
  <si>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</si>
  <si>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</si>
  <si>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</si>
  <si>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</si>
  <si>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</si>
  <si>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</si>
  <si>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</si>
  <si>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</si>
  <si>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</si>
  <si>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</si>
  <si>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</si>
  <si>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</si>
  <si>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</si>
  <si>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</si>
  <si>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</si>
  <si>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</si>
  <si>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</si>
  <si>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</si>
  <si>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</si>
  <si>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</si>
  <si>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</si>
  <si>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</si>
  <si>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</si>
  <si>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</si>
  <si>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</si>
  <si>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</si>
  <si>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</si>
  <si>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</si>
  <si>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</si>
  <si>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</si>
  <si>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</si>
  <si>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</si>
  <si>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</si>
  <si>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</si>
  <si>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</si>
  <si>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</si>
  <si>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</si>
  <si>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</si>
  <si>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</si>
  <si>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</si>
  <si>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</si>
  <si>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</si>
  <si>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</si>
  <si>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</si>
  <si>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</si>
  <si>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</si>
  <si>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</si>
  <si>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</si>
  <si>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</si>
  <si>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</si>
  <si>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</si>
  <si>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</si>
  <si>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</si>
  <si>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</si>
  <si>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</si>
  <si>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</si>
  <si>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</si>
  <si>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</si>
  <si>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</si>
  <si>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</si>
  <si>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</si>
  <si>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</si>
  <si>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</si>
  <si>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</si>
  <si>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</si>
  <si>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</si>
  <si>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</si>
  <si>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</si>
  <si>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</si>
  <si>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</si>
  <si>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</si>
  <si>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</si>
  <si>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</si>
  <si>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</si>
  <si>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</si>
  <si>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</si>
  <si>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</si>
  <si>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</si>
  <si>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</si>
  <si>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</si>
  <si>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</si>
  <si>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</si>
  <si>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</si>
  <si>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</si>
  <si>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</si>
  <si>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</si>
  <si>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</si>
  <si>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</si>
  <si>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</si>
  <si>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</si>
  <si>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</si>
  <si>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</si>
  <si>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</si>
  <si>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</si>
  <si>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</si>
  <si>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</si>
  <si>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</si>
  <si>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</si>
  <si>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</si>
  <si>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</si>
  <si>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</si>
  <si>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</si>
  <si>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</si>
  <si>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</si>
  <si>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</si>
  <si>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</si>
  <si>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</si>
  <si>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</si>
  <si>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</si>
  <si>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</si>
  <si>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</si>
  <si>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</si>
  <si>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</si>
  <si>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</si>
  <si>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</si>
  <si>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</si>
  <si>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</si>
  <si>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</si>
  <si>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</si>
  <si>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</si>
  <si>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</si>
  <si>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</si>
  <si>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</si>
  <si>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</si>
  <si>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</si>
  <si>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</si>
  <si>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</si>
  <si>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</si>
  <si>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</si>
  <si>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</si>
  <si>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</si>
  <si>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</si>
  <si>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</si>
  <si>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</si>
  <si>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</si>
  <si>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</si>
  <si>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</si>
  <si>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</si>
  <si>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</si>
  <si>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</si>
  <si>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</si>
  <si>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</si>
  <si>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</si>
  <si>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</si>
  <si>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</si>
  <si>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</si>
  <si>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</si>
  <si>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</si>
  <si>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</si>
  <si>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</si>
  <si>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</si>
  <si>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</si>
  <si>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</si>
  <si>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</si>
  <si>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</si>
  <si>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</si>
  <si>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</si>
  <si>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</si>
  <si>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</si>
  <si>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</si>
  <si>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</si>
  <si>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</si>
  <si>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</si>
  <si>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</si>
  <si>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</si>
  <si>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</si>
  <si>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</si>
  <si>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</si>
  <si>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</si>
  <si>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</si>
  <si>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</si>
  <si>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</si>
  <si>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</si>
  <si>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</si>
  <si>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</si>
  <si>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</si>
  <si>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</si>
  <si>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</si>
  <si>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</si>
  <si>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</si>
  <si>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</si>
  <si>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</si>
  <si>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</si>
  <si>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</si>
  <si>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</si>
  <si>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</si>
  <si>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</si>
  <si>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</si>
  <si>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</si>
  <si>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</si>
  <si>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</si>
  <si>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</si>
  <si>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</si>
  <si>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</si>
  <si>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</si>
  <si>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</si>
  <si>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</si>
  <si>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</si>
  <si>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</si>
  <si>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</si>
  <si>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</si>
  <si>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</si>
  <si>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</si>
  <si>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</si>
  <si>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</si>
  <si>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</si>
  <si>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</si>
  <si>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</si>
  <si>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</si>
  <si>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</si>
  <si>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</si>
  <si>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</si>
  <si>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</si>
  <si>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</si>
  <si>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</si>
  <si>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</si>
  <si>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</si>
  <si>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</si>
  <si>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</si>
  <si>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</si>
  <si>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</si>
  <si>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</si>
  <si>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</si>
  <si>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</si>
  <si>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</si>
  <si>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</si>
  <si>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</si>
  <si>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</si>
  <si>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</si>
  <si>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</si>
  <si>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</si>
  <si>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</si>
  <si>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</si>
  <si>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</si>
  <si>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</si>
  <si>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</si>
  <si>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</si>
  <si>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</si>
  <si>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</si>
  <si>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</si>
  <si>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</si>
  <si>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</si>
  <si>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</si>
  <si>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</si>
  <si>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</si>
  <si>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</si>
  <si>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</si>
  <si>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</si>
  <si>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</si>
  <si>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</si>
  <si>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</si>
  <si>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</si>
  <si>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</si>
  <si>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</si>
  <si>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</si>
  <si>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</si>
  <si>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</si>
  <si>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</si>
  <si>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</si>
  <si>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</si>
  <si>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</si>
  <si>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</si>
  <si>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</si>
  <si>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</si>
  <si>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</si>
  <si>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</si>
  <si>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</si>
  <si>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</si>
  <si>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</si>
  <si>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</si>
  <si>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</si>
  <si>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93469 تا 1555</t>
  </si>
  <si>
    <t>27/6/1400</t>
  </si>
  <si>
    <t>وغدیر 1558 تا 1461</t>
  </si>
  <si>
    <t>با پول در حساب و توسن باید 22 تا وغدیر بخرم</t>
  </si>
  <si>
    <t>بدهی به داریوش 28/6/1400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</si>
</sst>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16" fillId="2" borderId="0" xfId="0" applyFont="1" applyFill="1" applyAlignment="1">
      <alignment wrapText="1"/>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A67"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abSelected="1" topLeftCell="G39" zoomScale="85" zoomScaleNormal="85" workbookViewId="0">
      <selection activeCell="L56" sqref="L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1092</v>
      </c>
      <c r="T20" s="166" t="s">
        <v>4281</v>
      </c>
      <c r="U20" s="166">
        <v>192.1</v>
      </c>
      <c r="V20" s="166">
        <f t="shared" ref="V20:V51" si="6">U20*(1+$R$111+$Q$15*S20/36500)</f>
        <v>355.94182684931508</v>
      </c>
      <c r="W20" s="32">
        <f t="shared" ref="W20:W26" si="7">V20*(1+$W$19/100)</f>
        <v>363.06066338630137</v>
      </c>
      <c r="X20" s="32">
        <f t="shared" ref="X20:X26" si="8">V20*(1+$X$19/100)</f>
        <v>370.17949992328772</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1033</v>
      </c>
      <c r="T21" s="19" t="s">
        <v>4425</v>
      </c>
      <c r="U21" s="166">
        <v>192.2</v>
      </c>
      <c r="V21" s="166">
        <f t="shared" si="6"/>
        <v>347.42809205479449</v>
      </c>
      <c r="W21" s="32">
        <f t="shared" si="7"/>
        <v>354.3766538958904</v>
      </c>
      <c r="X21" s="32">
        <f t="shared" si="8"/>
        <v>361.32521573698631</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6656392759.8209791</v>
      </c>
      <c r="M22" s="166" t="s">
        <v>4273</v>
      </c>
      <c r="N22" s="111">
        <f t="shared" si="9"/>
        <v>3661617300</v>
      </c>
      <c r="O22" s="97">
        <v>2569556</v>
      </c>
      <c r="P22" s="183">
        <f>P48</f>
        <v>1425</v>
      </c>
      <c r="Q22" s="167">
        <v>1614398</v>
      </c>
      <c r="R22" s="166" t="s">
        <v>4395</v>
      </c>
      <c r="S22" s="166">
        <f>S21-3</f>
        <v>1030</v>
      </c>
      <c r="T22" s="19" t="s">
        <v>5603</v>
      </c>
      <c r="U22" s="166">
        <v>184.6</v>
      </c>
      <c r="V22" s="166">
        <f t="shared" si="6"/>
        <v>333.26520767123287</v>
      </c>
      <c r="W22" s="32">
        <f t="shared" si="7"/>
        <v>339.93051182465751</v>
      </c>
      <c r="X22" s="32">
        <f t="shared" si="8"/>
        <v>346.59581597808221</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189139630</v>
      </c>
      <c r="O23" s="97">
        <v>123218</v>
      </c>
      <c r="P23" s="183">
        <f>P51</f>
        <v>1535</v>
      </c>
      <c r="Q23" s="167">
        <v>133576</v>
      </c>
      <c r="R23" s="166" t="s">
        <v>4462</v>
      </c>
      <c r="S23" s="194">
        <f>S22-22</f>
        <v>1008</v>
      </c>
      <c r="T23" s="166" t="s">
        <v>4463</v>
      </c>
      <c r="U23" s="166">
        <v>166.2</v>
      </c>
      <c r="V23" s="166">
        <f t="shared" si="6"/>
        <v>297.24209753424657</v>
      </c>
      <c r="W23" s="32">
        <f t="shared" si="7"/>
        <v>303.18693948493149</v>
      </c>
      <c r="X23" s="32">
        <f t="shared" si="8"/>
        <v>309.13178143561646</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6633585594.8209791</v>
      </c>
      <c r="G24" s="93">
        <f t="shared" si="0"/>
        <v>-6353279249.4390402</v>
      </c>
      <c r="H24" s="11"/>
      <c r="I24" s="94"/>
      <c r="J24" s="94"/>
      <c r="K24" s="206"/>
      <c r="L24" s="115"/>
      <c r="M24" s="206" t="s">
        <v>5878</v>
      </c>
      <c r="N24" s="111">
        <f t="shared" si="9"/>
        <v>0</v>
      </c>
      <c r="O24" s="97">
        <v>0</v>
      </c>
      <c r="P24" s="183">
        <f>P49</f>
        <v>3000</v>
      </c>
      <c r="Q24" s="167">
        <v>220803</v>
      </c>
      <c r="R24" s="166" t="s">
        <v>4205</v>
      </c>
      <c r="S24" s="194">
        <f>S23-1</f>
        <v>1007</v>
      </c>
      <c r="T24" s="166" t="s">
        <v>4469</v>
      </c>
      <c r="U24" s="166">
        <v>166</v>
      </c>
      <c r="V24" s="166">
        <f t="shared" si="6"/>
        <v>296.75706301369866</v>
      </c>
      <c r="W24" s="32">
        <f t="shared" si="7"/>
        <v>302.69220427397261</v>
      </c>
      <c r="X24" s="32">
        <f t="shared" si="8"/>
        <v>308.62734553424661</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1005</v>
      </c>
      <c r="T25" s="166" t="s">
        <v>4476</v>
      </c>
      <c r="U25" s="166">
        <v>160.19999999999999</v>
      </c>
      <c r="V25" s="166">
        <f t="shared" si="6"/>
        <v>286.14265643835614</v>
      </c>
      <c r="W25" s="32">
        <f t="shared" si="7"/>
        <v>291.8655095671233</v>
      </c>
      <c r="X25" s="32">
        <f t="shared" si="8"/>
        <v>297.5883626958904</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977</v>
      </c>
      <c r="T26" s="166" t="s">
        <v>4550</v>
      </c>
      <c r="U26" s="166">
        <v>172.2</v>
      </c>
      <c r="V26" s="166">
        <f t="shared" si="6"/>
        <v>303.8778016438356</v>
      </c>
      <c r="W26" s="32">
        <f t="shared" si="7"/>
        <v>309.95535767671231</v>
      </c>
      <c r="X26" s="32">
        <f t="shared" si="8"/>
        <v>316.03291370958902</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944</v>
      </c>
      <c r="T27" s="206" t="s">
        <v>4647</v>
      </c>
      <c r="U27" s="206">
        <v>168.8</v>
      </c>
      <c r="V27" s="206">
        <f t="shared" si="6"/>
        <v>293.60470794520552</v>
      </c>
      <c r="W27" s="32">
        <f t="shared" ref="W27:W30" si="13">V27*(1+$W$19/100)</f>
        <v>299.47680210410965</v>
      </c>
      <c r="X27" s="32">
        <f t="shared" ref="X27:X30" si="14">V27*(1+$X$19/100)</f>
        <v>305.34889626301373</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868</v>
      </c>
      <c r="T28" s="206" t="s">
        <v>4853</v>
      </c>
      <c r="U28" s="206">
        <v>218.5</v>
      </c>
      <c r="V28" s="206">
        <f t="shared" si="6"/>
        <v>367.31226849315073</v>
      </c>
      <c r="W28" s="32">
        <f t="shared" si="13"/>
        <v>374.65851386301375</v>
      </c>
      <c r="X28" s="32">
        <f t="shared" si="14"/>
        <v>382.00475923287678</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865</v>
      </c>
      <c r="T29" s="206" t="s">
        <v>4859</v>
      </c>
      <c r="U29" s="206">
        <v>197.1</v>
      </c>
      <c r="V29" s="206">
        <f t="shared" si="6"/>
        <v>330.88391999999999</v>
      </c>
      <c r="W29" s="32">
        <f t="shared" si="13"/>
        <v>337.50159839999998</v>
      </c>
      <c r="X29" s="32">
        <f t="shared" si="14"/>
        <v>344.11927680000002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41230100</v>
      </c>
      <c r="O30" s="67">
        <v>26860</v>
      </c>
      <c r="P30" s="97">
        <f>P51</f>
        <v>1535</v>
      </c>
      <c r="Q30" s="167">
        <v>7046042.5001907032</v>
      </c>
      <c r="R30" s="206" t="s">
        <v>4866</v>
      </c>
      <c r="S30" s="194">
        <f>S29-5</f>
        <v>860</v>
      </c>
      <c r="T30" s="206" t="s">
        <v>5568</v>
      </c>
      <c r="U30" s="206">
        <v>194.4</v>
      </c>
      <c r="V30" s="206">
        <f t="shared" si="6"/>
        <v>325.60561972602744</v>
      </c>
      <c r="W30" s="32">
        <f t="shared" si="13"/>
        <v>332.117732120548</v>
      </c>
      <c r="X30" s="32">
        <f t="shared" si="14"/>
        <v>338.62984451506856</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395</v>
      </c>
      <c r="T31" s="206" t="s">
        <v>5576</v>
      </c>
      <c r="U31" s="206">
        <v>1843</v>
      </c>
      <c r="V31" s="206">
        <f t="shared" si="6"/>
        <v>2429.4678465753427</v>
      </c>
      <c r="W31" s="32">
        <f t="shared" ref="W31:W34" si="15">V31*(1+$W$19/100)</f>
        <v>2478.0572035068494</v>
      </c>
      <c r="X31" s="32">
        <f t="shared" ref="X31:X34" si="16">V31*(1+$X$19/100)</f>
        <v>2526.6465604383566</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392</v>
      </c>
      <c r="T32" s="206" t="s">
        <v>5578</v>
      </c>
      <c r="U32" s="206">
        <v>1751</v>
      </c>
      <c r="V32" s="206">
        <f t="shared" si="6"/>
        <v>2304.1624876712331</v>
      </c>
      <c r="W32" s="32">
        <f t="shared" si="15"/>
        <v>2350.2457374246578</v>
      </c>
      <c r="X32" s="32">
        <f t="shared" si="16"/>
        <v>2396.3289871780826</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473256750</v>
      </c>
      <c r="O33" s="67">
        <v>332110</v>
      </c>
      <c r="P33" s="97">
        <f>P48</f>
        <v>1425</v>
      </c>
      <c r="Q33" s="167">
        <v>16176504</v>
      </c>
      <c r="R33" s="206" t="s">
        <v>5579</v>
      </c>
      <c r="S33" s="194">
        <f>S32-1</f>
        <v>391</v>
      </c>
      <c r="T33" s="206" t="s">
        <v>5580</v>
      </c>
      <c r="U33" s="206">
        <v>1730</v>
      </c>
      <c r="V33" s="206">
        <f t="shared" si="6"/>
        <v>2275.2012054794523</v>
      </c>
      <c r="W33" s="32">
        <f t="shared" si="15"/>
        <v>2320.7052295890412</v>
      </c>
      <c r="X33" s="32">
        <f t="shared" si="16"/>
        <v>2366.2092536986306</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383</v>
      </c>
      <c r="T34" s="206" t="s">
        <v>5590</v>
      </c>
      <c r="U34" s="206">
        <v>1737.1</v>
      </c>
      <c r="V34" s="206">
        <f t="shared" si="6"/>
        <v>2273.8781775342468</v>
      </c>
      <c r="W34" s="32">
        <f t="shared" si="15"/>
        <v>2319.3557410849317</v>
      </c>
      <c r="X34" s="32">
        <f t="shared" si="16"/>
        <v>2364.8333046356165</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382</v>
      </c>
      <c r="T35" s="206" t="s">
        <v>5593</v>
      </c>
      <c r="U35" s="206">
        <v>1730.1</v>
      </c>
      <c r="V35" s="206">
        <f t="shared" si="6"/>
        <v>2263.3879199999997</v>
      </c>
      <c r="W35" s="32">
        <f t="shared" ref="W35:W36" si="17">V35*(1+$W$19/100)</f>
        <v>2308.6556783999995</v>
      </c>
      <c r="X35" s="32">
        <f t="shared" ref="X35:X36" si="18">V35*(1+$X$19/100)</f>
        <v>2353.9234367999998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-6656392759.8209791</v>
      </c>
      <c r="P36" t="s">
        <v>25</v>
      </c>
      <c r="Q36" s="167">
        <v>38191823</v>
      </c>
      <c r="R36" s="206" t="s">
        <v>5591</v>
      </c>
      <c r="S36" s="194">
        <f>S35-1</f>
        <v>381</v>
      </c>
      <c r="T36" s="206" t="s">
        <v>5592</v>
      </c>
      <c r="U36" s="206">
        <v>1646</v>
      </c>
      <c r="V36" s="206">
        <f t="shared" si="6"/>
        <v>2152.1021589041097</v>
      </c>
      <c r="W36" s="32">
        <f t="shared" si="17"/>
        <v>2195.1442020821919</v>
      </c>
      <c r="X36" s="32">
        <f t="shared" si="18"/>
        <v>2238.1862452602741</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378</v>
      </c>
      <c r="T37" s="206" t="s">
        <v>5598</v>
      </c>
      <c r="U37" s="206">
        <v>1674.7</v>
      </c>
      <c r="V37" s="206">
        <f t="shared" si="6"/>
        <v>2185.7725578082195</v>
      </c>
      <c r="W37" s="32">
        <f t="shared" ref="W37:W40" si="19">V37*(1+$W$19/100)</f>
        <v>2229.4880089643839</v>
      </c>
      <c r="X37" s="32">
        <f t="shared" ref="X37:X40" si="20">V37*(1+$X$19/100)</f>
        <v>2273.2034601205482</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376</v>
      </c>
      <c r="T38" s="206" t="s">
        <v>5597</v>
      </c>
      <c r="U38" s="206">
        <v>1663</v>
      </c>
      <c r="V38" s="206">
        <f t="shared" si="6"/>
        <v>2167.9505863013701</v>
      </c>
      <c r="W38" s="32">
        <f t="shared" si="19"/>
        <v>2211.3095980273974</v>
      </c>
      <c r="X38" s="32">
        <f t="shared" si="20"/>
        <v>2254.6686097534248</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375</v>
      </c>
      <c r="T39" s="206" t="s">
        <v>5604</v>
      </c>
      <c r="U39" s="206">
        <v>1580</v>
      </c>
      <c r="V39" s="206">
        <f t="shared" si="6"/>
        <v>2058.5365479452057</v>
      </c>
      <c r="W39" s="32">
        <f t="shared" si="19"/>
        <v>2099.7072789041099</v>
      </c>
      <c r="X39" s="32">
        <f t="shared" si="20"/>
        <v>2140.8780098630141</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370</v>
      </c>
      <c r="T40" s="206" t="s">
        <v>5608</v>
      </c>
      <c r="U40" s="206">
        <v>1560.1</v>
      </c>
      <c r="V40" s="206">
        <f t="shared" si="6"/>
        <v>2026.6254652054795</v>
      </c>
      <c r="W40" s="32">
        <f t="shared" si="19"/>
        <v>2067.1579745095892</v>
      </c>
      <c r="X40" s="32">
        <f t="shared" si="20"/>
        <v>2107.6904838136988</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362</v>
      </c>
      <c r="T41" s="206" t="s">
        <v>5614</v>
      </c>
      <c r="U41" s="206">
        <v>1667</v>
      </c>
      <c r="V41" s="206">
        <f t="shared" si="6"/>
        <v>2155.2620164383566</v>
      </c>
      <c r="W41" s="32">
        <f t="shared" ref="W41:W42" si="21">V41*(1+$W$19/100)</f>
        <v>2198.3672567671238</v>
      </c>
      <c r="X41" s="32">
        <f t="shared" ref="X41:X42" si="22">V41*(1+$X$19/100)</f>
        <v>2241.472497095891</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357</v>
      </c>
      <c r="T42" s="206" t="s">
        <v>5629</v>
      </c>
      <c r="U42" s="206">
        <v>1768.2</v>
      </c>
      <c r="V42" s="206">
        <f t="shared" si="6"/>
        <v>2279.3212208219184</v>
      </c>
      <c r="W42" s="32">
        <f t="shared" si="21"/>
        <v>2324.907645238357</v>
      </c>
      <c r="X42" s="32">
        <f t="shared" si="22"/>
        <v>2370.4940696547951</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354</v>
      </c>
      <c r="T43" s="206" t="s">
        <v>5644</v>
      </c>
      <c r="U43" s="206">
        <v>1582.3</v>
      </c>
      <c r="V43" s="206">
        <f t="shared" si="6"/>
        <v>2036.0429490410961</v>
      </c>
      <c r="W43" s="32">
        <f t="shared" ref="W43:W44" si="23">V43*(1+$W$19/100)</f>
        <v>2076.7638080219181</v>
      </c>
      <c r="X43" s="32">
        <f t="shared" ref="X43:X44" si="24">V43*(1+$X$19/100)</f>
        <v>2117.48466700274</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353</v>
      </c>
      <c r="T44" s="206" t="s">
        <v>5645</v>
      </c>
      <c r="U44" s="206">
        <v>1610.6</v>
      </c>
      <c r="V44" s="206">
        <f t="shared" si="6"/>
        <v>2071.2227747945203</v>
      </c>
      <c r="W44" s="32">
        <f t="shared" si="23"/>
        <v>2112.6472302904108</v>
      </c>
      <c r="X44" s="32">
        <f t="shared" si="24"/>
        <v>2154.0716857863013</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349</v>
      </c>
      <c r="T45" s="206" t="s">
        <v>5648</v>
      </c>
      <c r="U45" s="206">
        <v>1582</v>
      </c>
      <c r="V45" s="206">
        <f t="shared" si="6"/>
        <v>2029.5889753424658</v>
      </c>
      <c r="W45" s="32">
        <f t="shared" ref="W45:W46" si="25">V45*(1+$W$19/100)</f>
        <v>2070.1807548493152</v>
      </c>
      <c r="X45" s="32">
        <f t="shared" ref="X45:X46" si="26">V45*(1+$X$19/100)</f>
        <v>2110.7725343561647</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348</v>
      </c>
      <c r="T46" s="206" t="s">
        <v>5650</v>
      </c>
      <c r="U46" s="206">
        <v>1530</v>
      </c>
      <c r="V46" s="206">
        <f t="shared" si="6"/>
        <v>1961.7031232876714</v>
      </c>
      <c r="W46" s="32">
        <f t="shared" si="25"/>
        <v>2000.9371857534247</v>
      </c>
      <c r="X46" s="32">
        <f t="shared" si="26"/>
        <v>2040.1712482191783</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346</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5820961125</v>
      </c>
      <c r="O48" s="97">
        <v>4084885</v>
      </c>
      <c r="P48" s="97">
        <v>1425</v>
      </c>
      <c r="Q48" s="167"/>
      <c r="R48" s="206" t="s">
        <v>5668</v>
      </c>
      <c r="S48" s="194">
        <f>S47-19</f>
        <v>327</v>
      </c>
      <c r="T48" s="206" t="s">
        <v>5669</v>
      </c>
      <c r="U48" s="206">
        <v>1160</v>
      </c>
      <c r="V48" s="206">
        <f t="shared" si="6"/>
        <v>1468.6172054794522</v>
      </c>
      <c r="W48" s="32">
        <f t="shared" si="28"/>
        <v>1497.9895495890412</v>
      </c>
      <c r="X48" s="32">
        <f t="shared" si="29"/>
        <v>1527.3618936986304</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-23200000</v>
      </c>
      <c r="M49" s="19" t="s">
        <v>5878</v>
      </c>
      <c r="N49" s="111">
        <f>O49*P49</f>
        <v>0</v>
      </c>
      <c r="O49" s="97">
        <v>0</v>
      </c>
      <c r="P49" s="97">
        <v>3000</v>
      </c>
      <c r="Q49" s="167"/>
      <c r="R49" s="206" t="s">
        <v>5670</v>
      </c>
      <c r="S49" s="194">
        <f>S48-1</f>
        <v>326</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325</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-11600000</v>
      </c>
      <c r="M51" s="19" t="s">
        <v>5270</v>
      </c>
      <c r="N51" s="111">
        <f t="shared" si="27"/>
        <v>865693950</v>
      </c>
      <c r="O51" s="97">
        <v>563970</v>
      </c>
      <c r="P51" s="97">
        <v>1535</v>
      </c>
      <c r="Q51" s="167"/>
      <c r="R51" s="206" t="s">
        <v>5674</v>
      </c>
      <c r="S51" s="194">
        <f>S50-3</f>
        <v>322</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1340</v>
      </c>
      <c r="Q52" s="167"/>
      <c r="R52" s="206" t="s">
        <v>5677</v>
      </c>
      <c r="S52" s="194">
        <f>S51-2</f>
        <v>320</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23200000</v>
      </c>
      <c r="O53" s="67">
        <v>20</v>
      </c>
      <c r="P53" s="67">
        <v>1160000</v>
      </c>
      <c r="Q53" s="167" t="s">
        <v>25</v>
      </c>
      <c r="R53" s="206" t="s">
        <v>5680</v>
      </c>
      <c r="S53" s="194">
        <f>S52-7</f>
        <v>313</v>
      </c>
      <c r="T53" s="206" t="s">
        <v>6505</v>
      </c>
      <c r="U53" s="206">
        <v>1100</v>
      </c>
      <c r="V53" s="206">
        <f t="shared" si="30"/>
        <v>1380.8405479452056</v>
      </c>
      <c r="W53" s="32">
        <f t="shared" si="28"/>
        <v>1408.4573589041097</v>
      </c>
      <c r="X53" s="32">
        <f t="shared" si="29"/>
        <v>1436.0741698630138</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7038</v>
      </c>
      <c r="L54" s="115">
        <v>-312000</v>
      </c>
      <c r="M54" s="71" t="s">
        <v>5058</v>
      </c>
      <c r="N54" s="115">
        <f t="shared" si="27"/>
        <v>0</v>
      </c>
      <c r="O54" s="67">
        <v>0</v>
      </c>
      <c r="P54" s="67">
        <v>27500</v>
      </c>
      <c r="Q54" s="167"/>
      <c r="R54" s="206" t="s">
        <v>963</v>
      </c>
      <c r="S54" s="284">
        <f>S53-20</f>
        <v>293</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t="s">
        <v>7045</v>
      </c>
      <c r="L55" s="115">
        <v>-1000000</v>
      </c>
      <c r="M55" s="166" t="s">
        <v>1134</v>
      </c>
      <c r="N55" s="115">
        <v>14908</v>
      </c>
      <c r="O55" s="72">
        <v>1</v>
      </c>
      <c r="P55" t="s">
        <v>25</v>
      </c>
      <c r="Q55" s="167" t="s">
        <v>25</v>
      </c>
      <c r="R55" s="206" t="s">
        <v>5739</v>
      </c>
      <c r="S55" s="194">
        <f>S54-22</f>
        <v>271</v>
      </c>
      <c r="T55" s="206" t="s">
        <v>5740</v>
      </c>
      <c r="U55" s="206">
        <v>1302</v>
      </c>
      <c r="V55" s="206">
        <f t="shared" si="30"/>
        <v>1592.4637150684932</v>
      </c>
      <c r="W55" s="32">
        <f t="shared" si="28"/>
        <v>1624.3129893698631</v>
      </c>
      <c r="X55" s="32">
        <f t="shared" si="29"/>
        <v>1656.1622636712329</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270</v>
      </c>
      <c r="T56" s="206" t="s">
        <v>5746</v>
      </c>
      <c r="U56" s="206">
        <v>1250</v>
      </c>
      <c r="V56" s="206">
        <f t="shared" si="30"/>
        <v>1527.9041095890411</v>
      </c>
      <c r="W56" s="32">
        <f t="shared" ref="W56:W67" si="31">V56*(1+$W$19/100)</f>
        <v>1558.462191780822</v>
      </c>
      <c r="X56" s="32">
        <f t="shared" ref="X56:X67" si="32">V56*(1+$X$19/100)</f>
        <v>1589.0202739726028</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O48+41361</f>
        <v>4126246</v>
      </c>
      <c r="P57" s="113"/>
      <c r="Q57" s="167"/>
      <c r="R57" s="206" t="s">
        <v>5749</v>
      </c>
      <c r="S57" s="194">
        <f>S56-4</f>
        <v>266</v>
      </c>
      <c r="T57" s="206" t="s">
        <v>5750</v>
      </c>
      <c r="U57" s="206">
        <v>1195</v>
      </c>
      <c r="V57" s="206">
        <f t="shared" si="30"/>
        <v>1457.0094794520548</v>
      </c>
      <c r="W57" s="32">
        <f t="shared" si="31"/>
        <v>1486.1496690410959</v>
      </c>
      <c r="X57" s="32">
        <f t="shared" si="32"/>
        <v>1515.2898586301371</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262</v>
      </c>
      <c r="T58" s="206" t="s">
        <v>5760</v>
      </c>
      <c r="U58" s="206">
        <v>1190</v>
      </c>
      <c r="V58" s="206">
        <f t="shared" si="30"/>
        <v>1447.2616986301371</v>
      </c>
      <c r="W58" s="32">
        <f t="shared" si="31"/>
        <v>1476.2069326027399</v>
      </c>
      <c r="X58" s="32">
        <f t="shared" si="32"/>
        <v>1505.1521665753426</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259</v>
      </c>
      <c r="T59" s="206" t="s">
        <v>5759</v>
      </c>
      <c r="U59" s="206">
        <v>1147</v>
      </c>
      <c r="V59" s="206">
        <f t="shared" si="30"/>
        <v>1392.3260164383562</v>
      </c>
      <c r="W59" s="32">
        <f t="shared" si="31"/>
        <v>1420.1725367671233</v>
      </c>
      <c r="X59" s="32">
        <f t="shared" si="32"/>
        <v>1448.0190570958905</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525043</v>
      </c>
      <c r="P60" t="s">
        <v>25</v>
      </c>
      <c r="Q60" s="167"/>
      <c r="R60" s="206" t="s">
        <v>5762</v>
      </c>
      <c r="S60" s="194">
        <f>S59-2</f>
        <v>257</v>
      </c>
      <c r="T60" s="206" t="s">
        <v>5880</v>
      </c>
      <c r="U60" s="206">
        <v>1170</v>
      </c>
      <c r="V60" s="206">
        <f t="shared" si="30"/>
        <v>1418.4503013698632</v>
      </c>
      <c r="W60" s="32">
        <f t="shared" si="31"/>
        <v>1446.8193073972604</v>
      </c>
      <c r="X60" s="32">
        <f t="shared" si="32"/>
        <v>1475.1883134246577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-124620308.29056592</v>
      </c>
      <c r="P61" t="s">
        <v>25</v>
      </c>
      <c r="Q61" s="167"/>
      <c r="R61" s="206" t="s">
        <v>6423</v>
      </c>
      <c r="S61" s="194">
        <f>S60-107</f>
        <v>150</v>
      </c>
      <c r="T61" s="206" t="s">
        <v>6424</v>
      </c>
      <c r="U61" s="206">
        <v>1017</v>
      </c>
      <c r="V61" s="206">
        <f t="shared" si="30"/>
        <v>1149.4830575342467</v>
      </c>
      <c r="W61" s="32">
        <f t="shared" si="31"/>
        <v>1172.4727186849316</v>
      </c>
      <c r="X61" s="32">
        <f t="shared" si="32"/>
        <v>1195.4623798356165</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147</v>
      </c>
      <c r="T62" s="206" t="s">
        <v>6426</v>
      </c>
      <c r="U62" s="206">
        <v>990</v>
      </c>
      <c r="V62" s="206">
        <f t="shared" si="30"/>
        <v>1116.6874520547947</v>
      </c>
      <c r="W62" s="32">
        <f t="shared" si="31"/>
        <v>1139.0212010958905</v>
      </c>
      <c r="X62" s="32">
        <f t="shared" si="32"/>
        <v>1161.3549501369864</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146</v>
      </c>
      <c r="T63" s="206" t="s">
        <v>6428</v>
      </c>
      <c r="U63" s="206">
        <v>966</v>
      </c>
      <c r="V63" s="206">
        <f t="shared" si="30"/>
        <v>1088.8752000000002</v>
      </c>
      <c r="W63" s="32">
        <f t="shared" si="31"/>
        <v>1110.6527040000003</v>
      </c>
      <c r="X63" s="32">
        <f t="shared" si="32"/>
        <v>1132.4302080000002</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4250284144.8884549</v>
      </c>
      <c r="P64" t="s">
        <v>25</v>
      </c>
      <c r="Q64" s="167"/>
      <c r="R64" s="206" t="s">
        <v>6429</v>
      </c>
      <c r="S64" s="194">
        <f>S63-1</f>
        <v>145</v>
      </c>
      <c r="T64" s="206" t="s">
        <v>6430</v>
      </c>
      <c r="U64" s="206">
        <v>993</v>
      </c>
      <c r="V64" s="206">
        <f t="shared" si="30"/>
        <v>1118.5478465753426</v>
      </c>
      <c r="W64" s="32">
        <f t="shared" si="31"/>
        <v>1140.9188035068496</v>
      </c>
      <c r="X64" s="32">
        <f t="shared" si="32"/>
        <v>1163.2897604383563</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6633585594.8209791</v>
      </c>
      <c r="M65" s="166"/>
      <c r="N65" s="111">
        <f>N16+N17+N37</f>
        <v>141053</v>
      </c>
      <c r="P65" t="s">
        <v>25</v>
      </c>
      <c r="Q65" s="167"/>
      <c r="R65" s="206" t="s">
        <v>6432</v>
      </c>
      <c r="S65" s="194">
        <f>S64-2</f>
        <v>143</v>
      </c>
      <c r="T65" s="206" t="s">
        <v>6433</v>
      </c>
      <c r="U65" s="206">
        <v>1028</v>
      </c>
      <c r="V65" s="206">
        <f t="shared" si="30"/>
        <v>1156.395791780822</v>
      </c>
      <c r="W65" s="32">
        <f t="shared" si="31"/>
        <v>1179.5237076164385</v>
      </c>
      <c r="X65" s="32">
        <f t="shared" si="32"/>
        <v>1202.651623452055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94</v>
      </c>
      <c r="T66" s="206" t="s">
        <v>6501</v>
      </c>
      <c r="U66" s="206">
        <v>1036</v>
      </c>
      <c r="V66" s="206">
        <f t="shared" si="30"/>
        <v>1126.4527342465753</v>
      </c>
      <c r="W66" s="32">
        <f t="shared" si="31"/>
        <v>1148.9817889315068</v>
      </c>
      <c r="X66" s="32">
        <f t="shared" si="32"/>
        <v>1171.5108436164385</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6733585594.8209791</v>
      </c>
      <c r="O67" s="94"/>
      <c r="P67" s="120" t="s">
        <v>25</v>
      </c>
      <c r="Q67" s="167"/>
      <c r="R67" s="206" t="s">
        <v>6499</v>
      </c>
      <c r="S67" s="194">
        <f>S66-17</f>
        <v>77</v>
      </c>
      <c r="T67" s="206" t="s">
        <v>6530</v>
      </c>
      <c r="U67" s="206">
        <v>1178</v>
      </c>
      <c r="V67" s="206">
        <f t="shared" si="30"/>
        <v>1265.4882849315068</v>
      </c>
      <c r="W67" s="32">
        <f t="shared" si="31"/>
        <v>1290.7980506301369</v>
      </c>
      <c r="X67" s="32">
        <f t="shared" si="32"/>
        <v>1316.1078163287671</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75</v>
      </c>
      <c r="T68" s="206" t="s">
        <v>6506</v>
      </c>
      <c r="U68" s="206">
        <v>1343</v>
      </c>
      <c r="V68" s="206">
        <f t="shared" si="30"/>
        <v>1440.6820931506852</v>
      </c>
      <c r="W68" s="32">
        <f t="shared" ref="W68:W78" si="34">V68*(1+$W$19/100)</f>
        <v>1469.495735013699</v>
      </c>
      <c r="X68" s="32">
        <f t="shared" ref="X68:X78" si="35">V68*(1+$X$19/100)</f>
        <v>1498.3093768767126</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74</v>
      </c>
      <c r="T69" s="206" t="s">
        <v>6508</v>
      </c>
      <c r="U69" s="206">
        <v>1350.4</v>
      </c>
      <c r="V69" s="206">
        <f t="shared" si="30"/>
        <v>1447.5844032876714</v>
      </c>
      <c r="W69" s="32">
        <f t="shared" si="34"/>
        <v>1476.5360913534248</v>
      </c>
      <c r="X69" s="32">
        <f t="shared" si="35"/>
        <v>1505.4877794191784</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70</v>
      </c>
      <c r="T70" s="206" t="s">
        <v>6512</v>
      </c>
      <c r="U70" s="206">
        <v>1350.3</v>
      </c>
      <c r="V70" s="206">
        <f t="shared" si="30"/>
        <v>1443.3338202739728</v>
      </c>
      <c r="W70" s="32">
        <f t="shared" si="34"/>
        <v>1472.2004966794523</v>
      </c>
      <c r="X70" s="32">
        <f t="shared" si="35"/>
        <v>1501.0671730849317</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69</v>
      </c>
      <c r="T71" s="206" t="s">
        <v>6524</v>
      </c>
      <c r="U71" s="206">
        <v>1375.2</v>
      </c>
      <c r="V71" s="206">
        <f t="shared" si="30"/>
        <v>1468.8944482191782</v>
      </c>
      <c r="W71" s="32">
        <f t="shared" si="34"/>
        <v>1498.2723371835618</v>
      </c>
      <c r="X71" s="32">
        <f t="shared" si="35"/>
        <v>1527.6502261479454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68</v>
      </c>
      <c r="T72" s="206" t="s">
        <v>6529</v>
      </c>
      <c r="U72" s="206">
        <v>1406</v>
      </c>
      <c r="V72" s="206">
        <f t="shared" si="30"/>
        <v>1500.7143232876715</v>
      </c>
      <c r="W72" s="32">
        <f t="shared" si="34"/>
        <v>1530.728609753425</v>
      </c>
      <c r="X72" s="32">
        <f t="shared" si="35"/>
        <v>1560.7428962191784</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66</v>
      </c>
      <c r="T73" s="206" t="s">
        <v>6622</v>
      </c>
      <c r="U73" s="206">
        <v>1303</v>
      </c>
      <c r="V73" s="206">
        <f t="shared" si="30"/>
        <v>1388.7766684931507</v>
      </c>
      <c r="W73" s="32">
        <f t="shared" si="34"/>
        <v>1416.5522018630138</v>
      </c>
      <c r="X73" s="32">
        <f t="shared" si="35"/>
        <v>1444.3277352328769</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63</v>
      </c>
      <c r="T74" s="206" t="s">
        <v>7035</v>
      </c>
      <c r="U74" s="206">
        <v>1340</v>
      </c>
      <c r="V74" s="206">
        <f t="shared" si="30"/>
        <v>1425.1285479452056</v>
      </c>
      <c r="W74" s="32">
        <f t="shared" si="34"/>
        <v>1453.6311189041098</v>
      </c>
      <c r="X74" s="32">
        <f t="shared" si="35"/>
        <v>1482.1336898630138</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7</v>
      </c>
      <c r="T75" s="206" t="s">
        <v>7034</v>
      </c>
      <c r="U75" s="206">
        <v>1617</v>
      </c>
      <c r="V75" s="206">
        <f t="shared" si="30"/>
        <v>1650.2614684931509</v>
      </c>
      <c r="W75" s="32">
        <f t="shared" si="34"/>
        <v>1683.2666978630139</v>
      </c>
      <c r="X75" s="32">
        <f t="shared" si="35"/>
        <v>1716.271927232877</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2048512581.6758094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1092</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1030</v>
      </c>
      <c r="T85" s="188" t="s">
        <v>4456</v>
      </c>
      <c r="U85" s="166">
        <v>184.6</v>
      </c>
      <c r="V85" s="166">
        <f t="shared" ref="V85:V103" si="37">U85*(1+$R$111+$Q$15*S85/36500)</f>
        <v>333.26520767123287</v>
      </c>
      <c r="W85" s="32">
        <f t="shared" ref="W85:W92" si="38">V85*(1+$W$19/100)</f>
        <v>339.93051182465751</v>
      </c>
      <c r="X85" s="32">
        <f t="shared" ref="X85:X92" si="39">V85*(1+$X$19/100)</f>
        <v>346.59581597808221</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1009</v>
      </c>
      <c r="T86" s="187" t="s">
        <v>4460</v>
      </c>
      <c r="U86" s="166">
        <v>168.5</v>
      </c>
      <c r="V86" s="166">
        <f t="shared" si="37"/>
        <v>301.48481643835618</v>
      </c>
      <c r="W86" s="32">
        <f t="shared" si="38"/>
        <v>307.51451276712328</v>
      </c>
      <c r="X86" s="32">
        <f t="shared" si="39"/>
        <v>313.54420909589044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1008</v>
      </c>
      <c r="T87" s="187" t="s">
        <v>4464</v>
      </c>
      <c r="U87" s="166">
        <v>166.7</v>
      </c>
      <c r="V87" s="166">
        <f t="shared" si="37"/>
        <v>298.13632767123289</v>
      </c>
      <c r="W87" s="32">
        <f t="shared" si="38"/>
        <v>304.09905422465755</v>
      </c>
      <c r="X87" s="32">
        <f t="shared" si="39"/>
        <v>310.06178077808221</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1007</v>
      </c>
      <c r="T88" s="187" t="s">
        <v>4468</v>
      </c>
      <c r="U88" s="166">
        <v>166.6</v>
      </c>
      <c r="V88" s="166">
        <f t="shared" si="37"/>
        <v>297.82967890410958</v>
      </c>
      <c r="W88" s="32">
        <f t="shared" si="38"/>
        <v>303.78627248219181</v>
      </c>
      <c r="X88" s="32">
        <f t="shared" si="39"/>
        <v>309.74286606027397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977</v>
      </c>
      <c r="T89" s="187" t="s">
        <v>4550</v>
      </c>
      <c r="U89" s="166">
        <v>172.2</v>
      </c>
      <c r="V89" s="166">
        <f t="shared" si="37"/>
        <v>303.8778016438356</v>
      </c>
      <c r="W89" s="32">
        <f t="shared" si="38"/>
        <v>309.95535767671231</v>
      </c>
      <c r="X89" s="32">
        <f t="shared" si="39"/>
        <v>316.03291370958902</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902</v>
      </c>
      <c r="T90" s="187" t="s">
        <v>4777</v>
      </c>
      <c r="U90" s="206">
        <v>183</v>
      </c>
      <c r="V90" s="206">
        <f t="shared" si="37"/>
        <v>312.40757260273978</v>
      </c>
      <c r="W90" s="32">
        <f t="shared" si="38"/>
        <v>318.65572405479458</v>
      </c>
      <c r="X90" s="32">
        <f t="shared" si="39"/>
        <v>324.90387550684937</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868</v>
      </c>
      <c r="T91" s="187" t="s">
        <v>4854</v>
      </c>
      <c r="U91" s="206">
        <v>218.5</v>
      </c>
      <c r="V91" s="206">
        <f t="shared" si="37"/>
        <v>367.31226849315073</v>
      </c>
      <c r="W91" s="32">
        <f t="shared" si="38"/>
        <v>374.65851386301375</v>
      </c>
      <c r="X91" s="32">
        <f t="shared" si="39"/>
        <v>382.00475923287678</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852</v>
      </c>
      <c r="T92" s="187" t="s">
        <v>5602</v>
      </c>
      <c r="U92" s="206">
        <v>196.2</v>
      </c>
      <c r="V92" s="206">
        <f t="shared" si="37"/>
        <v>327.41640986301371</v>
      </c>
      <c r="W92" s="32">
        <f t="shared" si="38"/>
        <v>333.96473806027399</v>
      </c>
      <c r="X92" s="32">
        <f t="shared" si="39"/>
        <v>340.51306625753426</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354</v>
      </c>
      <c r="T93" s="187" t="s">
        <v>5638</v>
      </c>
      <c r="U93" s="206">
        <v>1550</v>
      </c>
      <c r="V93" s="206">
        <f t="shared" si="37"/>
        <v>1994.4805479452059</v>
      </c>
      <c r="W93" s="32">
        <f t="shared" ref="W93:W99" si="40">V93*(1+$W$19/100)</f>
        <v>2034.37015890411</v>
      </c>
      <c r="X93" s="32">
        <f t="shared" ref="X93:X99" si="41">V93*(1+$X$19/100)</f>
        <v>2074.2597698630143</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271</v>
      </c>
      <c r="T94" s="187" t="s">
        <v>5741</v>
      </c>
      <c r="U94" s="206">
        <v>1275</v>
      </c>
      <c r="V94" s="206">
        <f t="shared" si="37"/>
        <v>1559.4402739726029</v>
      </c>
      <c r="W94" s="32">
        <f t="shared" si="40"/>
        <v>1590.6290794520551</v>
      </c>
      <c r="X94" s="32">
        <f t="shared" si="41"/>
        <v>1621.817884931507</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266</v>
      </c>
      <c r="T95" s="187" t="s">
        <v>5751</v>
      </c>
      <c r="U95" s="206">
        <v>1210</v>
      </c>
      <c r="V95" s="206">
        <f t="shared" si="37"/>
        <v>1475.2983013698631</v>
      </c>
      <c r="W95" s="32">
        <f t="shared" si="40"/>
        <v>1504.8042673972604</v>
      </c>
      <c r="X95" s="32">
        <f t="shared" si="41"/>
        <v>1534.3102334246578</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262</v>
      </c>
      <c r="T96" s="187" t="s">
        <v>5757</v>
      </c>
      <c r="U96" s="206">
        <v>1175</v>
      </c>
      <c r="V96" s="206">
        <f t="shared" si="37"/>
        <v>1429.0189041095891</v>
      </c>
      <c r="W96" s="32">
        <f t="shared" si="40"/>
        <v>1457.599282191781</v>
      </c>
      <c r="X96" s="32">
        <f t="shared" si="41"/>
        <v>1486.1796602739728</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259</v>
      </c>
      <c r="T97" s="187" t="s">
        <v>5761</v>
      </c>
      <c r="U97" s="206">
        <v>1148</v>
      </c>
      <c r="V97" s="206">
        <f t="shared" si="37"/>
        <v>1393.5399013698632</v>
      </c>
      <c r="W97" s="32">
        <f t="shared" si="40"/>
        <v>1421.4106993972605</v>
      </c>
      <c r="X97" s="32">
        <f t="shared" si="41"/>
        <v>1449.2814974246578</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258</v>
      </c>
      <c r="T98" s="187" t="s">
        <v>5765</v>
      </c>
      <c r="U98" s="206">
        <v>1141</v>
      </c>
      <c r="V98" s="206">
        <f t="shared" si="37"/>
        <v>1384.1674191780824</v>
      </c>
      <c r="W98" s="32">
        <f t="shared" si="40"/>
        <v>1411.850767561644</v>
      </c>
      <c r="X98" s="32">
        <f t="shared" si="41"/>
        <v>1439.5341159452057</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257</v>
      </c>
      <c r="T99" s="187" t="s">
        <v>5766</v>
      </c>
      <c r="U99" s="206">
        <v>1171</v>
      </c>
      <c r="V99" s="206">
        <f t="shared" si="37"/>
        <v>1419.6626520547945</v>
      </c>
      <c r="W99" s="32">
        <f t="shared" si="40"/>
        <v>1448.0559050958905</v>
      </c>
      <c r="X99" s="32">
        <f t="shared" si="41"/>
        <v>1476.4491581369864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192</v>
      </c>
      <c r="T100" s="187" t="s">
        <v>5824</v>
      </c>
      <c r="U100" s="206">
        <v>1255.0999999999999</v>
      </c>
      <c r="V100" s="206">
        <f t="shared" si="37"/>
        <v>1459.0382761643837</v>
      </c>
      <c r="W100" s="32">
        <f t="shared" ref="W100:W106" si="43">V100*(1+$W$19/100)</f>
        <v>1488.2190416876713</v>
      </c>
      <c r="X100" s="32">
        <f t="shared" ref="X100:X106" si="44">V100*(1+$X$19/100)</f>
        <v>1517.3998072109591</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77</v>
      </c>
      <c r="T101" s="187" t="s">
        <v>6672</v>
      </c>
      <c r="U101" s="206">
        <v>1160</v>
      </c>
      <c r="V101" s="206">
        <f t="shared" si="37"/>
        <v>1246.1514520547946</v>
      </c>
      <c r="W101" s="32">
        <f t="shared" si="43"/>
        <v>1271.0744810958906</v>
      </c>
      <c r="X101" s="32">
        <f t="shared" si="44"/>
        <v>1295.9975101369864</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25</v>
      </c>
      <c r="T102" s="187" t="s">
        <v>6674</v>
      </c>
      <c r="U102" s="206">
        <v>1600</v>
      </c>
      <c r="V102" s="206">
        <f t="shared" si="37"/>
        <v>1655.0049315068495</v>
      </c>
      <c r="W102" s="32">
        <f t="shared" si="43"/>
        <v>1688.1050301369864</v>
      </c>
      <c r="X102" s="32">
        <f t="shared" si="44"/>
        <v>1721.2051287671236</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12</v>
      </c>
      <c r="T103" s="187" t="s">
        <v>6698</v>
      </c>
      <c r="U103" s="206">
        <v>1544</v>
      </c>
      <c r="V103" s="206">
        <f t="shared" si="37"/>
        <v>1581.6820602739729</v>
      </c>
      <c r="W103" s="32">
        <f t="shared" si="43"/>
        <v>1613.3157014794524</v>
      </c>
      <c r="X103" s="32">
        <f t="shared" si="44"/>
        <v>1644.9493426849319</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8140.3508771929828</v>
      </c>
      <c r="G106" s="196">
        <f>P48</f>
        <v>1425</v>
      </c>
      <c r="H106" s="196" t="s">
        <v>4702</v>
      </c>
      <c r="I106" s="196" t="s">
        <v>5289</v>
      </c>
      <c r="J106" s="207" t="s">
        <v>4217</v>
      </c>
      <c r="K106" s="196">
        <v>210</v>
      </c>
      <c r="L106" s="208">
        <f t="shared" ref="L106:L111" si="45">K106*$L$114</f>
        <v>2436000000</v>
      </c>
      <c r="M106" s="208">
        <f>N22+N33+N48</f>
        <v>9955835175</v>
      </c>
      <c r="N106" s="181">
        <f>L106-M106</f>
        <v>-7519835175</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382800000</v>
      </c>
      <c r="M107" s="1">
        <f>N51+N30+N23</f>
        <v>1096063680</v>
      </c>
      <c r="N107" s="111">
        <f t="shared" ref="N107:N109" si="46">L107-M107</f>
        <v>-713263680</v>
      </c>
      <c r="P107" s="94"/>
      <c r="Q107" s="111">
        <f>SUM(N30:N33)-SUM(Q84:Q106)</f>
        <v>481573816.7462979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11600000</v>
      </c>
      <c r="M110" s="208">
        <f>N52+N24+N45+N29+N21</f>
        <v>0</v>
      </c>
      <c r="N110" s="181">
        <f>L110-M110</f>
        <v>11600000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8340400000</v>
      </c>
      <c r="M111" s="238">
        <v>0</v>
      </c>
      <c r="N111" s="84">
        <f>L111-M111</f>
        <v>8340400000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11600000</v>
      </c>
      <c r="M114" s="1">
        <f>K114*L114</f>
        <v>0</v>
      </c>
      <c r="N114" s="111">
        <f>SUM(N106:N112)-M114</f>
        <v>113899725</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1092</v>
      </c>
      <c r="T115" s="5" t="s">
        <v>5569</v>
      </c>
      <c r="U115" s="166">
        <v>192</v>
      </c>
      <c r="V115" s="97">
        <f t="shared" ref="V115:V148" si="47">U115*(1+$R$111+$Q$15*S115/36500)</f>
        <v>355.7565369863014</v>
      </c>
      <c r="W115" s="32">
        <f t="shared" ref="W115" si="48">V115*(1+$W$19/100)</f>
        <v>362.87166772602745</v>
      </c>
      <c r="X115" s="32">
        <f t="shared" ref="X115" si="49">V115*(1+$X$19/100)</f>
        <v>369.98679846575345</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397</v>
      </c>
      <c r="T116" s="206" t="s">
        <v>5581</v>
      </c>
      <c r="U116" s="206">
        <v>1995.5</v>
      </c>
      <c r="V116" s="97">
        <f t="shared" si="47"/>
        <v>2633.5570246575348</v>
      </c>
      <c r="W116" s="32">
        <f t="shared" ref="W116:W117" si="50">V116*(1+$W$19/100)</f>
        <v>2686.2281651506855</v>
      </c>
      <c r="X116" s="32">
        <f t="shared" ref="X116:X117" si="51">V116*(1+$X$19/100)</f>
        <v>2738.8993056438362</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392</v>
      </c>
      <c r="T117" s="206" t="s">
        <v>5630</v>
      </c>
      <c r="U117" s="206">
        <v>1751</v>
      </c>
      <c r="V117" s="97">
        <f t="shared" si="47"/>
        <v>2304.1624876712331</v>
      </c>
      <c r="W117" s="32">
        <f t="shared" si="50"/>
        <v>2350.2457374246578</v>
      </c>
      <c r="X117" s="32">
        <f t="shared" si="51"/>
        <v>2396.3289871780826</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356</v>
      </c>
      <c r="T118" s="206" t="s">
        <v>5633</v>
      </c>
      <c r="U118" s="206">
        <v>1715</v>
      </c>
      <c r="V118" s="97">
        <f t="shared" si="47"/>
        <v>2209.4274520547947</v>
      </c>
      <c r="W118" s="32">
        <f t="shared" ref="W118" si="52">V118*(1+$W$19/100)</f>
        <v>2253.6160010958906</v>
      </c>
      <c r="X118" s="32">
        <f t="shared" ref="X118" si="53">V118*(1+$X$19/100)</f>
        <v>2297.8045501369866</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355</v>
      </c>
      <c r="T119" s="206" t="s">
        <v>5635</v>
      </c>
      <c r="U119" s="206">
        <v>1631</v>
      </c>
      <c r="V119" s="97">
        <f t="shared" si="47"/>
        <v>2099.9594191780825</v>
      </c>
      <c r="W119" s="32">
        <f t="shared" ref="W119:W120" si="54">V119*(1+$W$19/100)</f>
        <v>2141.9586075616444</v>
      </c>
      <c r="X119" s="32">
        <f t="shared" ref="X119:X120" si="55">V119*(1+$X$19/100)</f>
        <v>2183.9577959452058</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354</v>
      </c>
      <c r="T120" s="206" t="s">
        <v>5656</v>
      </c>
      <c r="U120" s="206">
        <v>1567.4</v>
      </c>
      <c r="V120" s="97">
        <f t="shared" si="47"/>
        <v>2016.8702005479456</v>
      </c>
      <c r="W120" s="32">
        <f t="shared" si="54"/>
        <v>2057.2076045589047</v>
      </c>
      <c r="X120" s="32">
        <f t="shared" si="55"/>
        <v>2097.5450085698635</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341</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340</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339</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286</v>
      </c>
      <c r="T124" s="206" t="s">
        <v>5715</v>
      </c>
      <c r="U124" s="206">
        <v>1500</v>
      </c>
      <c r="V124" s="97">
        <f t="shared" si="47"/>
        <v>1851.8958904109591</v>
      </c>
      <c r="W124" s="32">
        <f t="shared" ref="W124:W133" si="61">V124*(1+$W$19/100)</f>
        <v>1888.9338082191782</v>
      </c>
      <c r="X124" s="32">
        <f t="shared" ref="X124:X133" si="62">V124*(1+$X$19/100)</f>
        <v>1925.9717260273974</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285</v>
      </c>
      <c r="T125" s="206" t="s">
        <v>5717</v>
      </c>
      <c r="U125" s="206">
        <v>1440</v>
      </c>
      <c r="V125" s="97">
        <f t="shared" si="47"/>
        <v>1776.7153972602739</v>
      </c>
      <c r="W125" s="32">
        <f t="shared" si="61"/>
        <v>1812.2497052054794</v>
      </c>
      <c r="X125" s="32">
        <f t="shared" si="62"/>
        <v>1847.7840131506848</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284</v>
      </c>
      <c r="T126" s="206" t="s">
        <v>5719</v>
      </c>
      <c r="U126" s="206">
        <v>1362</v>
      </c>
      <c r="V126" s="97">
        <f t="shared" si="47"/>
        <v>1679.4318246575344</v>
      </c>
      <c r="W126" s="32">
        <f t="shared" si="61"/>
        <v>1713.0204611506852</v>
      </c>
      <c r="X126" s="32">
        <f t="shared" si="62"/>
        <v>1746.6090976438359</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283</v>
      </c>
      <c r="T127" s="206" t="s">
        <v>5726</v>
      </c>
      <c r="U127" s="206">
        <v>1330</v>
      </c>
      <c r="V127" s="97">
        <f t="shared" si="47"/>
        <v>1638.9535342465754</v>
      </c>
      <c r="W127" s="32">
        <f t="shared" si="61"/>
        <v>1671.732604931507</v>
      </c>
      <c r="X127" s="32">
        <f t="shared" si="62"/>
        <v>1704.5116756164384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279</v>
      </c>
      <c r="T128" s="206" t="s">
        <v>5731</v>
      </c>
      <c r="U128" s="206">
        <v>1390</v>
      </c>
      <c r="V128" s="97">
        <f t="shared" si="47"/>
        <v>1708.6260821917811</v>
      </c>
      <c r="W128" s="32">
        <f t="shared" si="61"/>
        <v>1742.7986038356166</v>
      </c>
      <c r="X128" s="32">
        <f t="shared" si="62"/>
        <v>1776.9711254794524</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278</v>
      </c>
      <c r="T129" s="206" t="s">
        <v>5733</v>
      </c>
      <c r="U129" s="206">
        <v>1350</v>
      </c>
      <c r="V129" s="97">
        <f t="shared" si="47"/>
        <v>1658.421369863014</v>
      </c>
      <c r="W129" s="32">
        <f t="shared" si="61"/>
        <v>1691.5897972602743</v>
      </c>
      <c r="X129" s="32">
        <f t="shared" si="62"/>
        <v>1724.7582246575346</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276</v>
      </c>
      <c r="T130" s="206" t="s">
        <v>6651</v>
      </c>
      <c r="U130" s="206">
        <v>1228</v>
      </c>
      <c r="V130" s="97">
        <f t="shared" si="47"/>
        <v>1506.6651616438357</v>
      </c>
      <c r="W130" s="32">
        <f t="shared" si="61"/>
        <v>1536.7984648767124</v>
      </c>
      <c r="X130" s="32">
        <f t="shared" si="62"/>
        <v>1566.9317681095893</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215</v>
      </c>
      <c r="T131" s="206" t="s">
        <v>5783</v>
      </c>
      <c r="U131" s="206">
        <v>1354.1</v>
      </c>
      <c r="V131" s="97">
        <f t="shared" si="47"/>
        <v>1598.0160734246576</v>
      </c>
      <c r="W131" s="32">
        <f t="shared" si="61"/>
        <v>1629.9763948931509</v>
      </c>
      <c r="X131" s="32">
        <f t="shared" si="62"/>
        <v>1661.9367163616439</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207</v>
      </c>
      <c r="T132" s="206" t="s">
        <v>5800</v>
      </c>
      <c r="U132" s="206">
        <v>1266</v>
      </c>
      <c r="V132" s="97">
        <f t="shared" si="47"/>
        <v>1486.2770630136988</v>
      </c>
      <c r="W132" s="32">
        <f t="shared" si="61"/>
        <v>1516.0026042739728</v>
      </c>
      <c r="X132" s="32">
        <f t="shared" si="62"/>
        <v>1545.7281455342468</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194</v>
      </c>
      <c r="T133" s="206" t="s">
        <v>6498</v>
      </c>
      <c r="U133" s="206">
        <v>1275</v>
      </c>
      <c r="V133" s="97">
        <f t="shared" si="47"/>
        <v>1484.1279452054794</v>
      </c>
      <c r="W133" s="32">
        <f t="shared" si="61"/>
        <v>1513.8105041095889</v>
      </c>
      <c r="X133" s="32">
        <f t="shared" si="62"/>
        <v>1543.4930630136987</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77</v>
      </c>
      <c r="T134" s="206" t="s">
        <v>6500</v>
      </c>
      <c r="U134" s="206">
        <v>1310</v>
      </c>
      <c r="V134" s="97">
        <f t="shared" si="47"/>
        <v>1407.2917260273973</v>
      </c>
      <c r="W134" s="32">
        <f t="shared" ref="W134:W139" si="64">V134*(1+$W$19/100)</f>
        <v>1435.4375605479454</v>
      </c>
      <c r="X134" s="32">
        <f t="shared" ref="X134:X139" si="65">V134*(1+$X$19/100)</f>
        <v>1463.5833950684932</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73</v>
      </c>
      <c r="T135" s="206" t="s">
        <v>6657</v>
      </c>
      <c r="U135" s="206">
        <v>1388</v>
      </c>
      <c r="V135" s="97">
        <f t="shared" si="47"/>
        <v>1486.8256000000001</v>
      </c>
      <c r="W135" s="32">
        <f t="shared" si="64"/>
        <v>1516.5621120000001</v>
      </c>
      <c r="X135" s="32">
        <f t="shared" si="65"/>
        <v>1546.2986240000002</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42</v>
      </c>
      <c r="T136" s="206" t="s">
        <v>6653</v>
      </c>
      <c r="U136" s="206">
        <v>1493</v>
      </c>
      <c r="V136" s="97">
        <f t="shared" si="47"/>
        <v>1563.7968328767126</v>
      </c>
      <c r="W136" s="32">
        <f t="shared" si="64"/>
        <v>1595.0727695342468</v>
      </c>
      <c r="X136" s="32">
        <f t="shared" si="65"/>
        <v>1626.3487061917813</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769167.49473684211</v>
      </c>
      <c r="H137" s="276" t="s">
        <v>5443</v>
      </c>
      <c r="I137" s="32" t="e">
        <f>(N32+N48+N46+N33+N25+N22+N23+N24+N30+N31+#REF!+N49+N51)/P47</f>
        <v>#REF!</v>
      </c>
      <c r="J137" s="112"/>
      <c r="K137" s="94"/>
      <c r="L137" s="94" t="s">
        <v>25</v>
      </c>
      <c r="M137" s="94"/>
      <c r="Q137" s="167"/>
      <c r="R137" s="206" t="s">
        <v>6654</v>
      </c>
      <c r="S137" s="206">
        <f>S136-2</f>
        <v>40</v>
      </c>
      <c r="T137" s="206" t="s">
        <v>6655</v>
      </c>
      <c r="U137" s="206">
        <v>1510</v>
      </c>
      <c r="V137" s="97">
        <f t="shared" si="47"/>
        <v>1579.2862465753426</v>
      </c>
      <c r="W137" s="32">
        <f t="shared" si="64"/>
        <v>1610.8719715068494</v>
      </c>
      <c r="X137" s="32">
        <f t="shared" si="65"/>
        <v>1642.4576964383564</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39</v>
      </c>
      <c r="T138" s="206" t="s">
        <v>6702</v>
      </c>
      <c r="U138" s="206">
        <v>11390000</v>
      </c>
      <c r="V138" s="97">
        <f t="shared" si="47"/>
        <v>11903891.835616438</v>
      </c>
      <c r="W138" s="32">
        <f t="shared" si="64"/>
        <v>12141969.672328766</v>
      </c>
      <c r="X138" s="32">
        <f t="shared" si="65"/>
        <v>12380047.509041095</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401105.17659855343</v>
      </c>
      <c r="H139" s="32" t="s">
        <v>5424</v>
      </c>
      <c r="I139" s="32">
        <f>(W159+W160)/P47</f>
        <v>21407.29875104639</v>
      </c>
      <c r="J139" s="112"/>
      <c r="K139" s="94"/>
      <c r="L139" s="94"/>
      <c r="M139" s="94"/>
      <c r="N139" s="94"/>
      <c r="O139" s="94"/>
      <c r="Q139" s="167"/>
      <c r="R139" s="206" t="s">
        <v>6656</v>
      </c>
      <c r="S139" s="206">
        <f>S115-1053</f>
        <v>39</v>
      </c>
      <c r="T139" s="206" t="s">
        <v>6694</v>
      </c>
      <c r="U139" s="206">
        <v>1531.6</v>
      </c>
      <c r="V139" s="97">
        <f t="shared" si="47"/>
        <v>1600.7024350684931</v>
      </c>
      <c r="W139" s="32">
        <f t="shared" si="64"/>
        <v>1632.7164837698629</v>
      </c>
      <c r="X139" s="32">
        <f t="shared" si="65"/>
        <v>1664.7305324712329</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2683461.1365095312</v>
      </c>
      <c r="H140" s="32" t="s">
        <v>480</v>
      </c>
      <c r="I140" s="32">
        <f>W157/P47</f>
        <v>143218.43144292443</v>
      </c>
      <c r="J140" s="112"/>
      <c r="K140" s="94"/>
      <c r="L140" s="94"/>
      <c r="N140" s="94"/>
      <c r="Q140" s="167"/>
      <c r="R140" s="206" t="s">
        <v>6664</v>
      </c>
      <c r="S140" s="206">
        <f>S139-5</f>
        <v>34</v>
      </c>
      <c r="T140" s="206" t="s">
        <v>7031</v>
      </c>
      <c r="U140" s="206">
        <v>1702</v>
      </c>
      <c r="V140" s="97">
        <f t="shared" si="47"/>
        <v>1772.2622904109589</v>
      </c>
      <c r="W140" s="32">
        <f t="shared" ref="W140:W148" si="66">V140*(1+$W$19/100)</f>
        <v>1807.7075362191781</v>
      </c>
      <c r="X140" s="32">
        <f t="shared" ref="X140:X148" si="67">V140*(1+$X$19/100)</f>
        <v>1843.1527820273973</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13</v>
      </c>
      <c r="T141" s="206" t="s">
        <v>6696</v>
      </c>
      <c r="U141" s="206">
        <v>1560</v>
      </c>
      <c r="V141" s="97">
        <f t="shared" si="47"/>
        <v>1599.2692602739728</v>
      </c>
      <c r="W141" s="32">
        <f t="shared" si="66"/>
        <v>1631.2546454794524</v>
      </c>
      <c r="X141" s="32">
        <f t="shared" si="67"/>
        <v>1663.2400306849318</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12</v>
      </c>
      <c r="T142" s="206" t="s">
        <v>7037</v>
      </c>
      <c r="U142" s="206">
        <v>1550</v>
      </c>
      <c r="V142" s="97">
        <f t="shared" si="47"/>
        <v>1587.8284931506853</v>
      </c>
      <c r="W142" s="32">
        <f t="shared" si="66"/>
        <v>1619.585063013699</v>
      </c>
      <c r="X142" s="32">
        <f t="shared" si="67"/>
        <v>1651.3416328767128</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6</v>
      </c>
      <c r="T143" s="206" t="s">
        <v>7041</v>
      </c>
      <c r="U143" s="206">
        <v>1555</v>
      </c>
      <c r="V143" s="97">
        <f t="shared" si="47"/>
        <v>1585.7932602739727</v>
      </c>
      <c r="W143" s="32">
        <f t="shared" si="66"/>
        <v>1617.5091254794522</v>
      </c>
      <c r="X143" s="32">
        <f t="shared" si="67"/>
        <v>1649.2249906849318</v>
      </c>
      <c r="Y143" s="420"/>
      <c r="Z143" s="420">
        <v>93469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7039</v>
      </c>
      <c r="S144" s="206">
        <f>S115-1088</f>
        <v>4</v>
      </c>
      <c r="T144" s="206" t="s">
        <v>7040</v>
      </c>
      <c r="U144" s="206">
        <v>1496</v>
      </c>
      <c r="V144" s="97">
        <f t="shared" si="47"/>
        <v>1523.3296657534249</v>
      </c>
      <c r="W144" s="32">
        <f t="shared" si="66"/>
        <v>1553.7962590684936</v>
      </c>
      <c r="X144" s="32">
        <f t="shared" si="67"/>
        <v>1584.2628523835619</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t="s">
        <v>7042</v>
      </c>
      <c r="S145" s="206">
        <f>S115-1092</f>
        <v>0</v>
      </c>
      <c r="T145" s="206" t="s">
        <v>7043</v>
      </c>
      <c r="U145" s="206">
        <v>1461</v>
      </c>
      <c r="V145" s="97">
        <f t="shared" si="47"/>
        <v>1483.2072000000001</v>
      </c>
      <c r="W145" s="32">
        <f t="shared" si="66"/>
        <v>1512.8713440000001</v>
      </c>
      <c r="X145" s="32">
        <f t="shared" si="67"/>
        <v>1542.5354880000002</v>
      </c>
      <c r="Y145" s="420">
        <v>1558</v>
      </c>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4832138056.3686695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2599042</v>
      </c>
      <c r="U157" s="279" t="s">
        <v>743</v>
      </c>
      <c r="V157" s="279">
        <v>1493085</v>
      </c>
      <c r="W157" s="88">
        <f>V157*$T$523</f>
        <v>3823932119.526082</v>
      </c>
      <c r="X157">
        <f>W157*100/$W$163</f>
        <v>34.599772020643741</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2599042</v>
      </c>
      <c r="W158" s="88">
        <f>V158*$T$523</f>
        <v>6656392759.8209791</v>
      </c>
      <c r="X158" s="94">
        <f>W158*100/$W$163</f>
        <v>60.228493804490668</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V159*$T$523</f>
        <v>124620308.29056592</v>
      </c>
      <c r="X159" s="94">
        <f>W159*100/$W$163</f>
        <v>1.1275917357367491</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V160*$T$523</f>
        <v>446954568.3623727</v>
      </c>
      <c r="X160" s="94">
        <f>W160*100/$W$163</f>
        <v>4.0441424391288399</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4315303</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V162-U520</f>
        <v>0</v>
      </c>
      <c r="W163" s="140">
        <f>SUM(W157:W160)</f>
        <v>11051899756</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67532281.637627304</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57088026.652938619</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30263216.179020882</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6709855075</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3850756930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514486850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-519</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-23200000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11051899756</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6709856109</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6240420159.9384365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5956897758.3618755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t="s">
        <v>7039</v>
      </c>
      <c r="H292" s="111">
        <v>540424.560405</v>
      </c>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1491745434.1177235</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9"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4365244166</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4158368778.151772</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4040657035.2381911</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t="s">
        <v>6621</v>
      </c>
      <c r="U512" s="19">
        <v>201</v>
      </c>
      <c r="V512" s="115">
        <v>2688.6794049999999</v>
      </c>
      <c r="W512" s="115">
        <f t="shared" si="98"/>
        <v>540424.560405</v>
      </c>
      <c r="X512" s="261" t="s">
        <v>5106</v>
      </c>
      <c r="Z512" t="s">
        <v>25</v>
      </c>
    </row>
    <row r="513" spans="15:27">
      <c r="P513" t="s">
        <v>25</v>
      </c>
      <c r="Q513" s="97" t="s">
        <v>5840</v>
      </c>
      <c r="R513" s="93">
        <v>189134.85153000001</v>
      </c>
      <c r="T513" s="19"/>
      <c r="U513" s="19"/>
      <c r="V513" s="115"/>
      <c r="W513" s="115"/>
      <c r="X513" s="261"/>
      <c r="AA513" t="s">
        <v>25</v>
      </c>
    </row>
    <row r="514" spans="15:27">
      <c r="Q514" s="97" t="s">
        <v>5842</v>
      </c>
      <c r="R514" s="93">
        <v>564888.82799599995</v>
      </c>
      <c r="T514" s="19"/>
      <c r="U514" s="19"/>
      <c r="V514" s="115"/>
      <c r="W514" s="115"/>
      <c r="X514" s="261"/>
      <c r="Y514" t="s">
        <v>25</v>
      </c>
      <c r="Z514" t="s">
        <v>25</v>
      </c>
    </row>
    <row r="515" spans="15:27">
      <c r="Q515" s="97" t="s">
        <v>5846</v>
      </c>
      <c r="R515" s="93">
        <v>8762299.2047910001</v>
      </c>
      <c r="T515" s="19"/>
      <c r="U515" s="19"/>
      <c r="V515" s="115"/>
      <c r="W515" s="115"/>
      <c r="X515" s="261"/>
    </row>
    <row r="516" spans="15:27">
      <c r="Q516" s="97" t="s">
        <v>5846</v>
      </c>
      <c r="R516" s="93">
        <v>-341847876.93843603</v>
      </c>
      <c r="T516" s="19"/>
      <c r="U516" s="19"/>
      <c r="V516" s="115"/>
      <c r="W516" s="115"/>
      <c r="X516" s="261"/>
    </row>
    <row r="517" spans="15:27">
      <c r="Q517" s="97" t="s">
        <v>5879</v>
      </c>
      <c r="R517" s="93">
        <v>259993.58394100002</v>
      </c>
      <c r="T517" s="19"/>
      <c r="U517" s="19"/>
      <c r="V517" s="115"/>
      <c r="W517" s="115">
        <f t="shared" si="98"/>
        <v>0</v>
      </c>
      <c r="X517" s="261"/>
    </row>
    <row r="518" spans="15:27">
      <c r="Q518" s="97" t="s">
        <v>5881</v>
      </c>
      <c r="R518" s="93">
        <v>269955.31205999997</v>
      </c>
      <c r="T518" s="19"/>
      <c r="U518" s="19"/>
      <c r="V518" s="115"/>
      <c r="W518" s="115">
        <f t="shared" si="98"/>
        <v>0</v>
      </c>
      <c r="X518" s="261"/>
    </row>
    <row r="519" spans="15:27">
      <c r="Q519" s="97" t="s">
        <v>6423</v>
      </c>
      <c r="R519" s="93">
        <v>560534.38387200003</v>
      </c>
      <c r="T519" s="97"/>
      <c r="U519" s="166"/>
      <c r="V519" s="111"/>
      <c r="W519" s="115">
        <f t="shared" si="98"/>
        <v>0</v>
      </c>
      <c r="X519" s="97"/>
    </row>
    <row r="520" spans="15:27">
      <c r="Q520" s="97" t="s">
        <v>6429</v>
      </c>
      <c r="R520" s="93">
        <v>581484.96802499995</v>
      </c>
      <c r="T520" s="166"/>
      <c r="U520" s="166">
        <f>SUM(U172:U519)</f>
        <v>4315303</v>
      </c>
      <c r="V520" s="97"/>
      <c r="W520" s="97"/>
      <c r="X520" s="97"/>
    </row>
    <row r="521" spans="15:27">
      <c r="Q521" s="97" t="s">
        <v>6432</v>
      </c>
      <c r="R521" s="93">
        <v>2136964.3409779998</v>
      </c>
      <c r="T521" s="97"/>
      <c r="U521" s="97" t="s">
        <v>6</v>
      </c>
      <c r="V521" s="97"/>
      <c r="W521" s="97"/>
      <c r="X521" s="97"/>
    </row>
    <row r="522" spans="15:27">
      <c r="Q522" s="97" t="s">
        <v>6436</v>
      </c>
      <c r="R522" s="93">
        <v>593783.22629999998</v>
      </c>
      <c r="T522" s="197" t="s">
        <v>4436</v>
      </c>
      <c r="Z522" t="s">
        <v>25</v>
      </c>
    </row>
    <row r="523" spans="15:27">
      <c r="Q523" s="97" t="s">
        <v>6440</v>
      </c>
      <c r="R523" s="93">
        <v>469469.96222000004</v>
      </c>
      <c r="T523" s="196">
        <f>R188/U520</f>
        <v>2561.0947263726325</v>
      </c>
      <c r="X523" t="s">
        <v>25</v>
      </c>
    </row>
    <row r="524" spans="15:27">
      <c r="O524" s="112"/>
      <c r="Q524" s="97" t="s">
        <v>6483</v>
      </c>
      <c r="R524" s="93">
        <v>73977944.489465997</v>
      </c>
      <c r="W524" s="112"/>
      <c r="AA524" t="s">
        <v>25</v>
      </c>
    </row>
    <row r="525" spans="15:27">
      <c r="Q525" s="97" t="s">
        <v>6488</v>
      </c>
      <c r="R525" s="93">
        <v>570166.40976800001</v>
      </c>
      <c r="U525" s="94" t="s">
        <v>267</v>
      </c>
      <c r="V525" t="s">
        <v>4437</v>
      </c>
      <c r="X525" t="s">
        <v>25</v>
      </c>
    </row>
    <row r="526" spans="15:27">
      <c r="Q526" s="97" t="s">
        <v>6491</v>
      </c>
      <c r="R526" s="93">
        <v>3585319.2317280001</v>
      </c>
      <c r="T526" s="112"/>
      <c r="U526" s="93">
        <v>-540944</v>
      </c>
      <c r="V526">
        <f>U526/T523</f>
        <v>-211.21592826289475</v>
      </c>
      <c r="X526" t="s">
        <v>25</v>
      </c>
      <c r="Y526" t="s">
        <v>25</v>
      </c>
    </row>
    <row r="527" spans="15:27">
      <c r="Q527" s="97" t="s">
        <v>6494</v>
      </c>
      <c r="R527" s="93">
        <v>676700.69889600005</v>
      </c>
      <c r="T527" t="s">
        <v>25</v>
      </c>
      <c r="X527" t="s">
        <v>25</v>
      </c>
    </row>
    <row r="528" spans="15:27">
      <c r="Q528" s="97" t="s">
        <v>6503</v>
      </c>
      <c r="R528" s="93">
        <v>1105777.5430340001</v>
      </c>
      <c r="T528" t="s">
        <v>25</v>
      </c>
      <c r="U528" s="94" t="s">
        <v>25</v>
      </c>
      <c r="V528" s="22"/>
      <c r="W528" s="213"/>
      <c r="X528" s="270" t="s">
        <v>25</v>
      </c>
    </row>
    <row r="529" spans="17:24">
      <c r="Q529" s="97" t="s">
        <v>6507</v>
      </c>
      <c r="R529" s="93">
        <v>2315234.8602510002</v>
      </c>
      <c r="V529" t="s">
        <v>25</v>
      </c>
      <c r="X529" t="s">
        <v>25</v>
      </c>
    </row>
    <row r="530" spans="17:24">
      <c r="Q530" s="97" t="s">
        <v>6509</v>
      </c>
      <c r="R530" s="93">
        <v>4136360.6541840001</v>
      </c>
      <c r="W530" s="112"/>
      <c r="X530" t="s">
        <v>25</v>
      </c>
    </row>
    <row r="531" spans="17:24" ht="60">
      <c r="Q531" s="97" t="s">
        <v>6511</v>
      </c>
      <c r="R531" s="93">
        <v>3035714.4702960001</v>
      </c>
      <c r="T531" s="22" t="s">
        <v>4422</v>
      </c>
      <c r="V531" s="213"/>
    </row>
    <row r="532" spans="17:24" ht="45">
      <c r="Q532" s="97" t="s">
        <v>6522</v>
      </c>
      <c r="R532" s="93">
        <v>-179906186.46823201</v>
      </c>
      <c r="T532" s="22" t="s">
        <v>4423</v>
      </c>
      <c r="W532" s="270"/>
    </row>
    <row r="533" spans="17:24">
      <c r="Q533" s="97" t="s">
        <v>6528</v>
      </c>
      <c r="R533" s="93">
        <v>345069.28943499998</v>
      </c>
    </row>
    <row r="534" spans="17:24">
      <c r="Q534" s="97" t="s">
        <v>6621</v>
      </c>
      <c r="R534" s="93">
        <v>567785.37859199999</v>
      </c>
    </row>
    <row r="535" spans="17:24">
      <c r="Q535" s="97" t="s">
        <v>6633</v>
      </c>
      <c r="R535" s="93">
        <v>189683.91675</v>
      </c>
      <c r="T535" s="97" t="s">
        <v>4438</v>
      </c>
      <c r="U535" s="97" t="s">
        <v>4417</v>
      </c>
      <c r="V535" s="97" t="s">
        <v>936</v>
      </c>
      <c r="W535" s="72" t="s">
        <v>5537</v>
      </c>
    </row>
    <row r="536" spans="17:24">
      <c r="Q536" s="97" t="s">
        <v>6634</v>
      </c>
      <c r="R536" s="93">
        <v>10000000</v>
      </c>
      <c r="T536" s="93">
        <f>S241+R309+R551</f>
        <v>2376285888.2308159</v>
      </c>
      <c r="U536" s="93">
        <f>R188</f>
        <v>11051899756</v>
      </c>
      <c r="V536" s="93">
        <f>U536-T536</f>
        <v>8675613867.7691841</v>
      </c>
    </row>
    <row r="537" spans="17:24">
      <c r="Q537" s="97" t="s">
        <v>6634</v>
      </c>
      <c r="R537" s="93">
        <v>519135.75707200001</v>
      </c>
      <c r="W537" s="94" t="s">
        <v>25</v>
      </c>
    </row>
    <row r="538" spans="17:24">
      <c r="Q538" s="97" t="s">
        <v>6641</v>
      </c>
      <c r="R538" s="93">
        <v>3406413.9029760002</v>
      </c>
    </row>
    <row r="539" spans="17:24">
      <c r="Q539" s="97" t="s">
        <v>6643</v>
      </c>
      <c r="R539" s="93">
        <v>435036.348168</v>
      </c>
      <c r="T539" s="115"/>
      <c r="V539" s="112">
        <f>(444000000+2500000)*2/3</f>
        <v>297666666.66666669</v>
      </c>
    </row>
    <row r="540" spans="17:24">
      <c r="Q540" s="97" t="s">
        <v>6697</v>
      </c>
      <c r="R540" s="93">
        <v>2321535.4633200001</v>
      </c>
    </row>
    <row r="541" spans="17:24">
      <c r="Q541" s="97" t="s">
        <v>7030</v>
      </c>
      <c r="R541" s="93">
        <v>1098146.8035800001</v>
      </c>
      <c r="T541" s="112">
        <f>W318+W319+W321+W322+W324+W325</f>
        <v>-301699041.74755996</v>
      </c>
    </row>
    <row r="542" spans="17:24">
      <c r="Q542" s="97" t="s">
        <v>7039</v>
      </c>
      <c r="R542" s="93">
        <v>540424.560405</v>
      </c>
      <c r="T542" t="s">
        <v>25</v>
      </c>
    </row>
    <row r="543" spans="17:24">
      <c r="Q543" s="97"/>
      <c r="R543" s="93"/>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t="s">
        <v>25</v>
      </c>
      <c r="R549" s="93"/>
      <c r="T549" s="97" t="s">
        <v>4735</v>
      </c>
      <c r="U549" s="97"/>
      <c r="V549" s="97"/>
    </row>
    <row r="550" spans="17:24">
      <c r="Q550" s="97" t="s">
        <v>25</v>
      </c>
      <c r="R550" s="97" t="s">
        <v>25</v>
      </c>
      <c r="T550" s="97" t="s">
        <v>452</v>
      </c>
      <c r="U550" s="97">
        <v>4217700</v>
      </c>
      <c r="V550" s="35">
        <f>U550*80</f>
        <v>337416000</v>
      </c>
      <c r="W550" s="94" t="s">
        <v>25</v>
      </c>
    </row>
    <row r="551" spans="17:24">
      <c r="Q551" s="97"/>
      <c r="R551" s="93">
        <f>SUM(R314:R550)</f>
        <v>2063490308.6655531</v>
      </c>
      <c r="T551" s="97" t="s">
        <v>5848</v>
      </c>
      <c r="U551" s="97">
        <v>2527652</v>
      </c>
      <c r="V551" s="49">
        <f>U551*80-50000000</f>
        <v>152212160</v>
      </c>
      <c r="X551" t="s">
        <v>25</v>
      </c>
    </row>
    <row r="552" spans="17:24">
      <c r="R552" s="97" t="s">
        <v>6</v>
      </c>
      <c r="T552" s="97" t="s">
        <v>5835</v>
      </c>
      <c r="U552" s="97">
        <v>47381</v>
      </c>
      <c r="V552" s="35">
        <f t="shared" ref="V552" si="121">U552*80</f>
        <v>3790480</v>
      </c>
    </row>
    <row r="553" spans="17:24">
      <c r="T553" s="97" t="s">
        <v>1069</v>
      </c>
      <c r="U553" s="97">
        <v>226303</v>
      </c>
      <c r="V553" s="186">
        <f>U553*80</f>
        <v>18104240</v>
      </c>
    </row>
    <row r="554" spans="17:24">
      <c r="Q554" t="s">
        <v>25</v>
      </c>
      <c r="T554" s="97" t="s">
        <v>5834</v>
      </c>
      <c r="U554" s="97">
        <v>8020</v>
      </c>
      <c r="V554" s="35">
        <f>U554*80</f>
        <v>641600</v>
      </c>
    </row>
    <row r="555" spans="17:24">
      <c r="Q555" t="s">
        <v>25</v>
      </c>
      <c r="T555" s="97" t="s">
        <v>5830</v>
      </c>
      <c r="U555" s="97">
        <v>55215</v>
      </c>
      <c r="V555" s="186">
        <f>U555*80</f>
        <v>4417200</v>
      </c>
    </row>
    <row r="556" spans="17:24">
      <c r="Q556" t="s">
        <v>25</v>
      </c>
      <c r="R556" t="s">
        <v>25</v>
      </c>
      <c r="T556" s="97" t="s">
        <v>5831</v>
      </c>
      <c r="U556" s="97">
        <v>26770</v>
      </c>
      <c r="V556" s="49">
        <f>U556*80</f>
        <v>2141600</v>
      </c>
    </row>
    <row r="557" spans="17:24">
      <c r="Q557" t="s">
        <v>25</v>
      </c>
      <c r="R557" t="s">
        <v>25</v>
      </c>
    </row>
    <row r="558" spans="17:24">
      <c r="Q558" s="112"/>
      <c r="R558" t="s">
        <v>25</v>
      </c>
    </row>
    <row r="560" spans="17:24">
      <c r="R560" t="s">
        <v>25</v>
      </c>
      <c r="X560" t="s">
        <v>25</v>
      </c>
    </row>
    <row r="561" spans="17:23">
      <c r="Q561" t="s">
        <v>25</v>
      </c>
      <c r="T561" s="97" t="s">
        <v>5519</v>
      </c>
      <c r="U561" s="97">
        <v>139096</v>
      </c>
      <c r="V561" s="167">
        <f>U561*80</f>
        <v>11127680</v>
      </c>
    </row>
    <row r="562" spans="17:23">
      <c r="T562" s="97"/>
      <c r="U562" s="97"/>
      <c r="V562" s="167"/>
    </row>
    <row r="563" spans="17:23">
      <c r="T563" s="97"/>
      <c r="U563" s="97"/>
      <c r="V563" s="167"/>
    </row>
    <row r="565" spans="17:23">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7" sqref="R7"/>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1.2734491315136476</v>
      </c>
      <c r="J1" s="400">
        <f t="shared" ref="J1:J32" si="2">I1/H1</f>
        <v>1.0226683580349269</v>
      </c>
      <c r="K1" s="32">
        <f t="shared" ref="K1:K33" si="3">(1/J1-1.0256)*100</f>
        <v>-4.7765893622136346</v>
      </c>
      <c r="L1" s="400"/>
      <c r="M1" s="400"/>
      <c r="N1" s="400">
        <v>1</v>
      </c>
      <c r="O1" s="40"/>
      <c r="P1" s="40"/>
      <c r="Q1" s="67" t="s">
        <v>5878</v>
      </c>
      <c r="R1" s="302">
        <v>3003</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1.2734491315136476</v>
      </c>
      <c r="J2" s="400">
        <f>I2/H2</f>
        <v>0.96566110081204337</v>
      </c>
      <c r="K2" s="32">
        <f t="shared" si="3"/>
        <v>0.9959990103236338</v>
      </c>
      <c r="L2" s="400" t="s">
        <v>25</v>
      </c>
      <c r="M2" s="400"/>
      <c r="N2" s="400">
        <f>H2/H1</f>
        <v>1.059034434725542</v>
      </c>
      <c r="O2" s="40"/>
      <c r="P2" s="40"/>
      <c r="Q2" s="97" t="s">
        <v>4217</v>
      </c>
      <c r="R2" s="278">
        <v>1427</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1.2734491315136476</v>
      </c>
      <c r="J3" s="400">
        <f t="shared" si="2"/>
        <v>0.956714921676455</v>
      </c>
      <c r="K3" s="32">
        <f t="shared" si="3"/>
        <v>1.964344435612686</v>
      </c>
      <c r="L3" s="400"/>
      <c r="M3" s="400"/>
      <c r="N3" s="400">
        <f>H3/H2</f>
        <v>1.0093509350935093</v>
      </c>
      <c r="O3" s="40"/>
      <c r="P3" s="40"/>
      <c r="Q3" s="97" t="s">
        <v>5270</v>
      </c>
      <c r="R3" s="288">
        <v>1541</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17.981779957953748</v>
      </c>
      <c r="J4" s="32">
        <f t="shared" si="2"/>
        <v>1.1294107781281253</v>
      </c>
      <c r="K4" s="32">
        <f t="shared" si="3"/>
        <v>-14.018255989252159</v>
      </c>
      <c r="L4" s="32"/>
      <c r="M4" s="32"/>
      <c r="N4" s="402">
        <v>1</v>
      </c>
      <c r="O4" s="40"/>
      <c r="P4" s="191"/>
      <c r="Q4" s="97" t="s">
        <v>5815</v>
      </c>
      <c r="R4" s="346">
        <v>1383</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17.981779957953748</v>
      </c>
      <c r="J5" s="32">
        <f t="shared" si="2"/>
        <v>1.1126580439868081</v>
      </c>
      <c r="K5" s="32">
        <f t="shared" si="3"/>
        <v>-12.685127355673343</v>
      </c>
      <c r="L5" s="32"/>
      <c r="M5" s="32"/>
      <c r="N5" s="402">
        <f>H5/H4</f>
        <v>1.0150564984739514</v>
      </c>
      <c r="O5" s="40"/>
      <c r="P5" s="191"/>
      <c r="Q5" s="97" t="s">
        <v>4359</v>
      </c>
      <c r="R5" s="277">
        <v>25660</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17.981779957953748</v>
      </c>
      <c r="J6" s="32">
        <f t="shared" si="2"/>
        <v>1.1033704142373355</v>
      </c>
      <c r="K6" s="32">
        <f t="shared" si="3"/>
        <v>-11.928604858667214</v>
      </c>
      <c r="L6" s="32"/>
      <c r="M6" s="32"/>
      <c r="N6" s="402">
        <f>H6/H5</f>
        <v>1.0084175084175087</v>
      </c>
      <c r="O6" s="40"/>
      <c r="P6" s="191"/>
      <c r="Q6" s="97" t="s">
        <v>4355</v>
      </c>
      <c r="R6" s="287">
        <v>20150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17.981779957953748</v>
      </c>
      <c r="J7" s="32">
        <f t="shared" ref="J7:J9" si="7">I7/H7</f>
        <v>1.0996758097985002</v>
      </c>
      <c r="K7" s="32">
        <f t="shared" ref="K7:K9" si="8">(1/J7-1.0256)*100</f>
        <v>-11.624108613679917</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17.981779957953748</v>
      </c>
      <c r="J8" s="32">
        <f t="shared" si="7"/>
        <v>1.1885208324319736</v>
      </c>
      <c r="K8" s="32">
        <f t="shared" si="8"/>
        <v>-18.421802947636923</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17.981779957953748</v>
      </c>
      <c r="J9" s="32">
        <f t="shared" si="7"/>
        <v>1.1178837256447818</v>
      </c>
      <c r="K9" s="32">
        <f t="shared" si="8"/>
        <v>-13.105258235760431</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17.981779957953748</v>
      </c>
      <c r="J10" s="32">
        <f t="shared" ref="J10" si="10">I10/H10</f>
        <v>1.1004665209519051</v>
      </c>
      <c r="K10" s="32">
        <f t="shared" ref="K10" si="11">(1/J10-1.0256)*100</f>
        <v>-11.689448196661312</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14.12053258584443</v>
      </c>
      <c r="J11" s="400">
        <f>I11/H11</f>
        <v>1.3698848346127019</v>
      </c>
      <c r="K11" s="400">
        <f>(1/J11-1.0256)*100</f>
        <v>-29.561162817988052</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14.12053258584443</v>
      </c>
      <c r="J12" s="400">
        <f t="shared" si="2"/>
        <v>1.3582924707744557</v>
      </c>
      <c r="K12" s="400">
        <f t="shared" si="3"/>
        <v>-28.938153342053695</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14.12053258584443</v>
      </c>
      <c r="J13" s="400">
        <f t="shared" si="2"/>
        <v>1.3452090932100784</v>
      </c>
      <c r="K13" s="400">
        <f t="shared" si="3"/>
        <v>-28.222114161472433</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14.12053258584443</v>
      </c>
      <c r="J14" s="400">
        <f t="shared" si="2"/>
        <v>1.3276774926936326</v>
      </c>
      <c r="K14" s="400">
        <f t="shared" si="3"/>
        <v>-27.240503698893814</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14.12053258584443</v>
      </c>
      <c r="J15" s="400">
        <f t="shared" si="2"/>
        <v>1.3385152551833275</v>
      </c>
      <c r="K15" s="400">
        <f t="shared" si="3"/>
        <v>-27.850354657703424</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14.12053258584443</v>
      </c>
      <c r="J16" s="400">
        <f t="shared" si="2"/>
        <v>1.305217846917998</v>
      </c>
      <c r="K16" s="400">
        <f t="shared" si="3"/>
        <v>-25.944437137348906</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14.12053258584443</v>
      </c>
      <c r="J17" s="400">
        <f t="shared" si="2"/>
        <v>1.2800971898782985</v>
      </c>
      <c r="K17" s="400">
        <f t="shared" si="3"/>
        <v>-24.440931549027766</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14.12053258584443</v>
      </c>
      <c r="J18" s="400">
        <f t="shared" si="2"/>
        <v>1.2561172156242231</v>
      </c>
      <c r="K18" s="400">
        <f t="shared" si="3"/>
        <v>-22.949595209627518</v>
      </c>
      <c r="L18" s="400"/>
      <c r="M18" s="400"/>
      <c r="N18" s="400">
        <f t="shared" si="14"/>
        <v>1.0190905545722966</v>
      </c>
      <c r="O18" s="40"/>
      <c r="P18" s="40"/>
      <c r="Q18" t="s">
        <v>61</v>
      </c>
      <c r="R18" s="354">
        <v>1501.4</v>
      </c>
      <c r="S18" s="354">
        <f>R18/1.0037158</f>
        <v>1495.8417512208139</v>
      </c>
      <c r="T18" s="354"/>
      <c r="U18" s="354">
        <f>S18*1.0127</f>
        <v>1514.8389414613182</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14.12053258584443</v>
      </c>
      <c r="J19" s="400">
        <f t="shared" si="2"/>
        <v>1.2466116532768838</v>
      </c>
      <c r="K19" s="400">
        <f t="shared" si="3"/>
        <v>-22.342556390246514</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14.12053258584443</v>
      </c>
      <c r="J20" s="400">
        <f>I20/H20</f>
        <v>1.2236721511108057</v>
      </c>
      <c r="K20" s="400">
        <f t="shared" si="3"/>
        <v>-20.838764529188992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14.12053258584443</v>
      </c>
      <c r="J21" s="400">
        <f t="shared" si="2"/>
        <v>1.1479260874220329</v>
      </c>
      <c r="K21" s="400">
        <f t="shared" si="3"/>
        <v>-15.446377358514397</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14.12053258584443</v>
      </c>
      <c r="J22" s="400">
        <f>I22/H22</f>
        <v>1.1508866796027319</v>
      </c>
      <c r="K22" s="400">
        <f t="shared" ref="K22" si="15">(1/J22-1.0256)*100</f>
        <v>-15.670472323375551</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14.12053258584443</v>
      </c>
      <c r="J23" s="400">
        <f t="shared" ref="J23:J24" si="16">I23/H23</f>
        <v>1.1353328625553818</v>
      </c>
      <c r="K23" s="400">
        <f t="shared" ref="K23:K24" si="17">(1/J23-1.0256)*100</f>
        <v>-14.480104404516014</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14.12053258584443</v>
      </c>
      <c r="J24" s="400">
        <f t="shared" si="16"/>
        <v>1.1244568763319998</v>
      </c>
      <c r="K24" s="400">
        <f t="shared" si="17"/>
        <v>-13.628176908480526</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0.92602206359506811</v>
      </c>
      <c r="J25" s="400">
        <f t="shared" ref="J25:J26" si="22">I25/H25</f>
        <v>1.0315347850320828</v>
      </c>
      <c r="K25" s="400">
        <f>(1/J25-1.0256)*100</f>
        <v>-5.617074321648019</v>
      </c>
      <c r="L25" s="400"/>
      <c r="M25" s="400"/>
      <c r="N25" s="400">
        <f>1</f>
        <v>1</v>
      </c>
      <c r="O25" s="405">
        <f t="shared" ref="O25:O27" si="23">F25-C25</f>
        <v>137.29999999999995</v>
      </c>
      <c r="P25" s="405">
        <f>R3-R2</f>
        <v>114</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0.92602206359506811</v>
      </c>
      <c r="J26" s="400">
        <f t="shared" si="22"/>
        <v>1.0220184242937929</v>
      </c>
      <c r="K26" s="400">
        <f>(1/J26-1.0256)*100</f>
        <v>-4.7144058081934777</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0.92602206359506811</v>
      </c>
      <c r="J27" s="400">
        <f t="shared" ref="J27" si="24">I27/H27</f>
        <v>1.0000068928755237</v>
      </c>
      <c r="K27" s="400">
        <f t="shared" ref="K27" si="25">(1/J27-1.0256)*100</f>
        <v>-2.5606892828012318</v>
      </c>
      <c r="L27" s="400"/>
      <c r="M27" s="400"/>
      <c r="N27" s="400">
        <f t="shared" ref="N27" si="26">H27/H26</f>
        <v>1.0220113796965686</v>
      </c>
      <c r="O27" s="405">
        <f t="shared" si="23"/>
        <v>103.79999999999995</v>
      </c>
      <c r="P27" s="40"/>
      <c r="Q27" t="s">
        <v>25</v>
      </c>
      <c r="R27" s="384"/>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0.92602206359506811</v>
      </c>
      <c r="J28" s="400">
        <f t="shared" ref="J28" si="27">I28/H28</f>
        <v>0.98249027971482861</v>
      </c>
      <c r="K28" s="400">
        <f t="shared" ref="K28" si="28">(1/J28-1.0256)*100</f>
        <v>-0.77782254270712947</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0.92602206359506811</v>
      </c>
      <c r="J29" s="400">
        <f t="shared" ref="J29" si="31">I29/H29</f>
        <v>0.98113433346119128</v>
      </c>
      <c r="K29" s="400">
        <f t="shared" ref="K29:K30" si="32">(1/J29-1.0256)*100</f>
        <v>-0.63715764341307768</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0.92602206359506811</v>
      </c>
      <c r="J30" s="400">
        <f>I30/H30</f>
        <v>0.97830766310417749</v>
      </c>
      <c r="K30" s="400">
        <f t="shared" si="32"/>
        <v>-0.34266717987341266</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v>
      </c>
      <c r="E31" s="396" t="s">
        <v>5270</v>
      </c>
      <c r="F31" s="395">
        <v>1562</v>
      </c>
      <c r="G31" s="396">
        <f t="shared" si="19"/>
        <v>0.94321790537583461</v>
      </c>
      <c r="H31" s="421">
        <f t="shared" si="20"/>
        <v>0.95518565941101152</v>
      </c>
      <c r="I31" s="397">
        <f t="shared" si="21"/>
        <v>0.92602206359506811</v>
      </c>
      <c r="J31" s="400">
        <f t="shared" ref="J31" si="34">I31/H31</f>
        <v>0.96946813896480988</v>
      </c>
      <c r="K31" s="400">
        <f t="shared" ref="K31" si="35">(1/J31-1.0256)*100</f>
        <v>0.58934135615757999</v>
      </c>
      <c r="L31" s="400"/>
      <c r="M31" s="400"/>
      <c r="N31" s="400">
        <f t="shared" ref="N31" si="36">H31/H30</f>
        <v>1.0091179109287762</v>
      </c>
      <c r="O31" s="405">
        <f>F31-C31</f>
        <v>70</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13.075924724205061</v>
      </c>
      <c r="J32" s="32">
        <f t="shared" si="2"/>
        <v>1.4244703611717884</v>
      </c>
      <c r="K32" s="32">
        <f t="shared" si="3"/>
        <v>-32.358469153307865</v>
      </c>
      <c r="L32" s="32"/>
      <c r="M32" s="32"/>
      <c r="N32" s="400">
        <v>1</v>
      </c>
      <c r="O32" s="40"/>
      <c r="P32" s="405" t="s">
        <v>25</v>
      </c>
      <c r="Q32" t="s">
        <v>25</v>
      </c>
      <c r="R32" s="352" t="s">
        <v>25</v>
      </c>
      <c r="S32" t="s">
        <v>25</v>
      </c>
      <c r="T32" s="353"/>
      <c r="U32" t="s">
        <v>25</v>
      </c>
      <c r="V32" t="s">
        <v>25</v>
      </c>
      <c r="W32" s="353"/>
      <c r="Y32" s="353"/>
    </row>
    <row r="33" spans="1:25" ht="63">
      <c r="A33" s="389" t="s">
        <v>5785</v>
      </c>
      <c r="B33" s="389" t="s">
        <v>4355</v>
      </c>
      <c r="C33" s="388">
        <v>11612</v>
      </c>
      <c r="D33" s="389">
        <v>352</v>
      </c>
      <c r="E33" s="396" t="s">
        <v>6639</v>
      </c>
      <c r="F33" s="395">
        <v>1250.3</v>
      </c>
      <c r="G33" s="396">
        <f t="shared" si="0"/>
        <v>3228.1945677388489</v>
      </c>
      <c r="H33" s="396">
        <f t="shared" ref="H33:H36" si="37">C33/F33</f>
        <v>9.2873710309525723</v>
      </c>
      <c r="I33" s="396">
        <f>$R$6/$R$3</f>
        <v>13.075924724205061</v>
      </c>
      <c r="J33" s="32">
        <f t="shared" ref="J33:J36" si="38">I33/H33</f>
        <v>1.4079253085320003</v>
      </c>
      <c r="K33" s="406">
        <f t="shared" si="3"/>
        <v>-31.533504919613343</v>
      </c>
      <c r="L33" s="32" t="s">
        <v>25</v>
      </c>
      <c r="M33" s="32" t="s">
        <v>25</v>
      </c>
      <c r="N33" s="32">
        <f>H33/H32</f>
        <v>1.0117513709992465</v>
      </c>
      <c r="O33" s="40"/>
      <c r="P33" s="40" t="s">
        <v>25</v>
      </c>
      <c r="Q33" t="s">
        <v>25</v>
      </c>
      <c r="R33" s="422" t="s">
        <v>7044</v>
      </c>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2.1044148563419762</v>
      </c>
      <c r="J34" s="32">
        <f>I34/H34</f>
        <v>1.0907523018250667</v>
      </c>
      <c r="K34" s="406">
        <f>(1/J34-1.0256)*100</f>
        <v>-10.880156801247942</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1.9487345879299156</v>
      </c>
      <c r="J35" s="32">
        <f>I35/H35</f>
        <v>1.0454366264826032</v>
      </c>
      <c r="K35" s="406">
        <f>(1/J35-1.0256)*100</f>
        <v>-6.9061865914795684</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1.0318148951554591</v>
      </c>
      <c r="J36" s="32">
        <f t="shared" si="38"/>
        <v>0.92392452121367719</v>
      </c>
      <c r="K36" s="32">
        <f>(1/J36-1.0256)*100</f>
        <v>5.67394953154714</v>
      </c>
      <c r="L36" s="32"/>
      <c r="M36" s="32"/>
      <c r="N36" s="32">
        <v>1</v>
      </c>
      <c r="O36" s="405">
        <f>F36-C36</f>
        <v>-166.79999999999995</v>
      </c>
      <c r="P36" s="405">
        <f>R4-R2</f>
        <v>-44</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17.981779957953748</v>
      </c>
      <c r="J42" s="97">
        <f t="shared" ref="J42:J48" si="42">I42/H42</f>
        <v>0.99128612344840694</v>
      </c>
      <c r="K42" s="97">
        <f t="shared" ref="K42:K48" si="43">(1/J42-1.0256)*100</f>
        <v>-1.6809524328576408</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17.981779957953748</v>
      </c>
      <c r="J43" s="97">
        <f t="shared" si="42"/>
        <v>0.93116652161160318</v>
      </c>
      <c r="K43" s="97">
        <f t="shared" si="43"/>
        <v>4.8321771016063053</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17.981779957953748</v>
      </c>
      <c r="J44" s="97">
        <f t="shared" si="42"/>
        <v>0.89161629363118655</v>
      </c>
      <c r="K44" s="97">
        <f t="shared" si="43"/>
        <v>9.5958687456698666</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17.981779957953748</v>
      </c>
      <c r="J45" s="97">
        <f t="shared" si="42"/>
        <v>0.86748921721843819</v>
      </c>
      <c r="K45" s="97">
        <f t="shared" si="43"/>
        <v>12.715208054625871</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17.981779957953748</v>
      </c>
      <c r="J46" s="97">
        <f t="shared" si="42"/>
        <v>0.87351491084637545</v>
      </c>
      <c r="K46" s="97">
        <f t="shared" si="43"/>
        <v>11.920014889622109</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17.981779957953748</v>
      </c>
      <c r="J47" s="97">
        <f t="shared" si="42"/>
        <v>0.87610545226679226</v>
      </c>
      <c r="K47" s="97">
        <f t="shared" si="43"/>
        <v>11.581510866374467</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14.12053258584443</v>
      </c>
      <c r="J48" s="97">
        <f t="shared" si="42"/>
        <v>0.96411270034289132</v>
      </c>
      <c r="K48" s="97">
        <f t="shared" si="43"/>
        <v>1.1623137548488982</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15507</v>
      </c>
      <c r="E66" s="348" t="s">
        <v>1068</v>
      </c>
      <c r="F66" s="44">
        <v>115435.1</v>
      </c>
      <c r="G66" s="348">
        <f>C66*D66*0.99114/(F66*1.00125)</f>
        <v>200.0001005968245</v>
      </c>
      <c r="H66" s="195">
        <f>C66/F66</f>
        <v>1.3028966059716672E-2</v>
      </c>
      <c r="I66" s="349">
        <f>$R$2/$R$7</f>
        <v>1.1837411862297802E-2</v>
      </c>
      <c r="J66" s="20">
        <f>I66/H66</f>
        <v>0.90854575935208304</v>
      </c>
      <c r="K66" s="20">
        <f>(1/J66-1.015155)*100</f>
        <v>8.5505026978868202</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1.1837411862297802E-2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1.1837411862297802E-2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3" t="s">
        <v>6541</v>
      </c>
      <c r="C1" s="423"/>
      <c r="D1" s="423" t="s">
        <v>6542</v>
      </c>
      <c r="E1" s="423"/>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4" t="s">
        <v>1071</v>
      </c>
      <c r="R21" s="424"/>
      <c r="S21" s="424"/>
      <c r="T21" s="424"/>
      <c r="U21" s="94"/>
      <c r="V21" s="94"/>
      <c r="W21" s="41" t="s">
        <v>4951</v>
      </c>
      <c r="X21" s="41">
        <v>9035210431</v>
      </c>
      <c r="Y21" s="41">
        <v>50</v>
      </c>
      <c r="Z21" s="41" t="s">
        <v>5213</v>
      </c>
      <c r="AA21" t="s">
        <v>4969</v>
      </c>
    </row>
    <row r="22" spans="5:35">
      <c r="O22" s="97"/>
      <c r="P22" s="97"/>
      <c r="Q22" s="424"/>
      <c r="R22" s="424"/>
      <c r="S22" s="424"/>
      <c r="T22" s="424"/>
      <c r="U22" s="94"/>
      <c r="V22" s="94"/>
      <c r="W22" s="41" t="s">
        <v>5038</v>
      </c>
      <c r="X22" s="41">
        <v>9909620343</v>
      </c>
      <c r="Y22" s="41">
        <v>200</v>
      </c>
      <c r="Z22" s="41" t="s">
        <v>5214</v>
      </c>
      <c r="AA22" t="s">
        <v>5217</v>
      </c>
      <c r="AB22" s="41" t="s">
        <v>5225</v>
      </c>
    </row>
    <row r="23" spans="5:35" ht="15.75">
      <c r="O23" s="176"/>
      <c r="P23" s="97" t="s">
        <v>4067</v>
      </c>
      <c r="Q23" s="425" t="s">
        <v>1072</v>
      </c>
      <c r="R23" s="426" t="s">
        <v>1073</v>
      </c>
      <c r="S23" s="425" t="s">
        <v>1074</v>
      </c>
      <c r="T23" s="427" t="s">
        <v>1075</v>
      </c>
      <c r="W23" s="41" t="s">
        <v>5039</v>
      </c>
      <c r="X23" s="41">
        <v>9378807702</v>
      </c>
      <c r="Y23" s="41">
        <v>0</v>
      </c>
      <c r="Z23" s="41">
        <v>0</v>
      </c>
      <c r="AD23" t="s">
        <v>25</v>
      </c>
    </row>
    <row r="24" spans="5:35">
      <c r="O24" s="97"/>
      <c r="P24" s="97"/>
      <c r="Q24" s="425"/>
      <c r="R24" s="426"/>
      <c r="S24" s="425"/>
      <c r="T24" s="427"/>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ht="30">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1425</v>
      </c>
      <c r="H4" s="115">
        <f>C4*G4</f>
        <v>420375000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452075061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1425</v>
      </c>
      <c r="H19" s="115">
        <f>C19*G19</f>
        <v>18433800</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320241228</v>
      </c>
    </row>
    <row r="26" spans="1:8">
      <c r="D26" t="s">
        <v>5394</v>
      </c>
      <c r="E26" s="112">
        <f>'خرید خانه'!H10+'خرید خانه'!H23-'خرید خانه'!D10-'خرید خانه'!D23</f>
        <v>470616289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2021-09-20T10:57:32Z</dcterms:modified>
</cp:coreProperties>
</file>